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shafeeulla\Desktop\Revised BOQs\F.Nilandhoo\"/>
    </mc:Choice>
  </mc:AlternateContent>
  <bookViews>
    <workbookView xWindow="120" yWindow="255" windowWidth="15135" windowHeight="7755" activeTab="2"/>
  </bookViews>
  <sheets>
    <sheet name="Cover " sheetId="4" r:id="rId1"/>
    <sheet name="Summary" sheetId="2" r:id="rId2"/>
    <sheet name="Boq" sheetId="1" r:id="rId3"/>
  </sheets>
  <definedNames>
    <definedName name="_xlnm.Print_Area" localSheetId="2">Boq!$A$1:$G$1131</definedName>
    <definedName name="_xlnm.Print_Area" localSheetId="0">'Cover '!$A$1:$I$53</definedName>
    <definedName name="_xlnm.Print_Area" localSheetId="1">Summary!$A$1:$C$21</definedName>
    <definedName name="_xlnm.Print_Titles" localSheetId="2">Boq!$3:$3</definedName>
  </definedNames>
  <calcPr calcId="152511" iterate="1" iterateCount="50"/>
</workbook>
</file>

<file path=xl/calcChain.xml><?xml version="1.0" encoding="utf-8"?>
<calcChain xmlns="http://schemas.openxmlformats.org/spreadsheetml/2006/main">
  <c r="D59" i="1" l="1"/>
  <c r="I158" i="1" l="1"/>
  <c r="I157" i="1"/>
  <c r="K156" i="1" l="1"/>
  <c r="J156" i="1"/>
  <c r="I156" i="1"/>
  <c r="I100" i="1"/>
  <c r="I99" i="1"/>
  <c r="K98" i="1"/>
  <c r="J98" i="1"/>
  <c r="I98" i="1"/>
  <c r="L98" i="1" s="1"/>
  <c r="K54" i="1"/>
  <c r="L156" i="1" l="1"/>
  <c r="D993" i="1"/>
  <c r="I980" i="1"/>
  <c r="I978" i="1"/>
  <c r="J978" i="1" s="1"/>
  <c r="I325" i="1"/>
  <c r="J325" i="1" s="1"/>
  <c r="I484" i="1"/>
  <c r="J484" i="1" s="1"/>
  <c r="G325" i="1"/>
  <c r="G324" i="1"/>
  <c r="L319" i="1"/>
  <c r="J319" i="1"/>
  <c r="I319" i="1"/>
  <c r="O319" i="1"/>
  <c r="G484" i="1"/>
  <c r="I284" i="1"/>
  <c r="G284" i="1"/>
  <c r="I244" i="1"/>
  <c r="G244" i="1"/>
  <c r="K217" i="1"/>
  <c r="I253" i="1"/>
  <c r="G253" i="1"/>
  <c r="I252" i="1"/>
  <c r="G252" i="1"/>
  <c r="I213" i="1"/>
  <c r="I214" i="1"/>
  <c r="G214" i="1"/>
  <c r="K178" i="1"/>
  <c r="J178" i="1"/>
  <c r="I178" i="1"/>
  <c r="L160" i="1"/>
  <c r="L161" i="1"/>
  <c r="K161" i="1"/>
  <c r="I161" i="1"/>
  <c r="J161" i="1" s="1"/>
  <c r="K160" i="1"/>
  <c r="J160" i="1"/>
  <c r="I160" i="1"/>
  <c r="G161" i="1"/>
  <c r="K102" i="1"/>
  <c r="J102" i="1"/>
  <c r="I102" i="1"/>
  <c r="L103" i="1"/>
  <c r="K103" i="1"/>
  <c r="I103" i="1"/>
  <c r="J103" i="1" s="1"/>
  <c r="I672" i="1"/>
  <c r="I673" i="1"/>
  <c r="J673" i="1" s="1"/>
  <c r="G673" i="1"/>
  <c r="I670" i="1"/>
  <c r="K670" i="1" s="1"/>
  <c r="G672" i="1"/>
  <c r="G682" i="1"/>
  <c r="G683" i="1"/>
  <c r="G684" i="1"/>
  <c r="G685" i="1"/>
  <c r="G686" i="1"/>
  <c r="G681" i="1"/>
  <c r="G680" i="1"/>
  <c r="I681" i="1"/>
  <c r="J681" i="1" s="1"/>
  <c r="D678" i="1"/>
  <c r="G678" i="1" s="1"/>
  <c r="D965" i="1"/>
  <c r="G965" i="1" s="1"/>
  <c r="D958" i="1"/>
  <c r="G958" i="1" s="1"/>
  <c r="D897" i="1"/>
  <c r="D964" i="1"/>
  <c r="G964" i="1" s="1"/>
  <c r="D963" i="1"/>
  <c r="G963" i="1" s="1"/>
  <c r="D962" i="1"/>
  <c r="G962" i="1" s="1"/>
  <c r="D961" i="1"/>
  <c r="G961" i="1" s="1"/>
  <c r="G960" i="1"/>
  <c r="D959" i="1"/>
  <c r="G959" i="1" s="1"/>
  <c r="G957" i="1"/>
  <c r="G954" i="1"/>
  <c r="G953" i="1"/>
  <c r="G952" i="1"/>
  <c r="G951" i="1"/>
  <c r="G950" i="1"/>
  <c r="G949" i="1"/>
  <c r="G948" i="1"/>
  <c r="G947" i="1"/>
  <c r="G946" i="1"/>
  <c r="G945" i="1"/>
  <c r="G944" i="1"/>
  <c r="G943" i="1"/>
  <c r="G942" i="1"/>
  <c r="G941" i="1"/>
  <c r="G940" i="1"/>
  <c r="G939" i="1"/>
  <c r="G938" i="1"/>
  <c r="D927" i="1"/>
  <c r="G927" i="1" s="1"/>
  <c r="D934" i="1"/>
  <c r="G934" i="1" s="1"/>
  <c r="D933" i="1"/>
  <c r="G933" i="1" s="1"/>
  <c r="D932" i="1"/>
  <c r="G932" i="1" s="1"/>
  <c r="D931" i="1"/>
  <c r="G931" i="1" s="1"/>
  <c r="D930" i="1"/>
  <c r="G930" i="1" s="1"/>
  <c r="G929" i="1"/>
  <c r="D928" i="1"/>
  <c r="G928" i="1" s="1"/>
  <c r="G926" i="1"/>
  <c r="G925" i="1"/>
  <c r="G924" i="1"/>
  <c r="G923" i="1"/>
  <c r="G922" i="1"/>
  <c r="G921" i="1"/>
  <c r="G920" i="1"/>
  <c r="G919" i="1"/>
  <c r="G918" i="1"/>
  <c r="G917" i="1"/>
  <c r="G916" i="1"/>
  <c r="G915" i="1"/>
  <c r="G914" i="1"/>
  <c r="G913" i="1"/>
  <c r="G912" i="1"/>
  <c r="G911" i="1"/>
  <c r="G910" i="1"/>
  <c r="G909" i="1"/>
  <c r="G908" i="1"/>
  <c r="G907" i="1"/>
  <c r="G906" i="1"/>
  <c r="G905" i="1"/>
  <c r="G904" i="1"/>
  <c r="D891" i="1"/>
  <c r="D890" i="1"/>
  <c r="G886" i="1"/>
  <c r="G872" i="1"/>
  <c r="G869" i="1"/>
  <c r="G824" i="1"/>
  <c r="I667" i="1"/>
  <c r="I676" i="1" s="1"/>
  <c r="G725" i="1"/>
  <c r="J720" i="1"/>
  <c r="I720" i="1"/>
  <c r="G720" i="1"/>
  <c r="I764" i="1"/>
  <c r="G756" i="1"/>
  <c r="G757" i="1"/>
  <c r="G755" i="1"/>
  <c r="G754" i="1"/>
  <c r="G753" i="1"/>
  <c r="G752" i="1"/>
  <c r="M414" i="1"/>
  <c r="N414" i="1" s="1"/>
  <c r="J437" i="1"/>
  <c r="K437" i="1" s="1"/>
  <c r="I521" i="1"/>
  <c r="I519" i="1"/>
  <c r="G530" i="1"/>
  <c r="G529" i="1"/>
  <c r="G528" i="1"/>
  <c r="J514" i="1"/>
  <c r="I514" i="1"/>
  <c r="M514" i="1" s="1"/>
  <c r="G512" i="1"/>
  <c r="G510" i="1"/>
  <c r="G509" i="1"/>
  <c r="I438" i="1"/>
  <c r="I436" i="1"/>
  <c r="I435" i="1"/>
  <c r="I433" i="1"/>
  <c r="I434" i="1"/>
  <c r="G434" i="1"/>
  <c r="G514" i="1"/>
  <c r="J503" i="1"/>
  <c r="I503" i="1"/>
  <c r="K501" i="1"/>
  <c r="I501" i="1"/>
  <c r="J501" i="1" s="1"/>
  <c r="G494" i="1"/>
  <c r="I427" i="1"/>
  <c r="G503" i="1"/>
  <c r="G501" i="1"/>
  <c r="G498" i="1"/>
  <c r="J496" i="1"/>
  <c r="I496" i="1"/>
  <c r="G496" i="1"/>
  <c r="G493" i="1"/>
  <c r="G491" i="1"/>
  <c r="I430" i="1"/>
  <c r="I428" i="1"/>
  <c r="I426" i="1"/>
  <c r="I425" i="1"/>
  <c r="G426" i="1"/>
  <c r="G425" i="1"/>
  <c r="J486" i="1"/>
  <c r="I486" i="1"/>
  <c r="K482" i="1"/>
  <c r="I482" i="1"/>
  <c r="J482" i="1" s="1"/>
  <c r="I483" i="1"/>
  <c r="G477" i="1"/>
  <c r="G476" i="1"/>
  <c r="G475" i="1"/>
  <c r="G473" i="1"/>
  <c r="G470" i="1"/>
  <c r="G469" i="1"/>
  <c r="G468" i="1"/>
  <c r="G467" i="1"/>
  <c r="G419" i="1"/>
  <c r="I418" i="1"/>
  <c r="I422" i="1"/>
  <c r="J422" i="1" s="1"/>
  <c r="J417" i="1"/>
  <c r="I417" i="1"/>
  <c r="I416" i="1"/>
  <c r="I415" i="1"/>
  <c r="I414" i="1"/>
  <c r="G416" i="1"/>
  <c r="G415" i="1"/>
  <c r="G414" i="1"/>
  <c r="I413" i="1"/>
  <c r="J420" i="1"/>
  <c r="I420" i="1"/>
  <c r="G421" i="1"/>
  <c r="I391" i="1"/>
  <c r="K290" i="1"/>
  <c r="Q388" i="1" s="1"/>
  <c r="I388" i="1"/>
  <c r="J388" i="1" s="1"/>
  <c r="L388" i="1" s="1"/>
  <c r="M388" i="1" s="1"/>
  <c r="M387" i="1"/>
  <c r="I386" i="1"/>
  <c r="J386" i="1" s="1"/>
  <c r="M362" i="1"/>
  <c r="I363" i="1"/>
  <c r="J363" i="1" s="1"/>
  <c r="L363" i="1" s="1"/>
  <c r="M363" i="1" s="1"/>
  <c r="I605" i="1"/>
  <c r="I361" i="1"/>
  <c r="J361" i="1" s="1"/>
  <c r="L361" i="1" s="1"/>
  <c r="M361" i="1" s="1"/>
  <c r="M161" i="1" l="1"/>
  <c r="L102" i="1"/>
  <c r="I215" i="1"/>
  <c r="M160" i="1"/>
  <c r="M103" i="1"/>
  <c r="I254" i="1"/>
  <c r="D251" i="1" s="1"/>
  <c r="G251" i="1" s="1"/>
  <c r="M178" i="1"/>
  <c r="K720" i="1"/>
  <c r="K514" i="1"/>
  <c r="K496" i="1"/>
  <c r="K503" i="1"/>
  <c r="M503" i="1"/>
  <c r="L501" i="1"/>
  <c r="L482" i="1"/>
  <c r="K417" i="1"/>
  <c r="L290" i="1"/>
  <c r="M290" i="1" s="1"/>
  <c r="O290" i="1" s="1"/>
  <c r="N388" i="1"/>
  <c r="O388" i="1" s="1"/>
  <c r="P388" i="1" s="1"/>
  <c r="R388" i="1" s="1"/>
  <c r="S388" i="1" s="1"/>
  <c r="L386" i="1"/>
  <c r="M386" i="1" s="1"/>
  <c r="N381" i="1"/>
  <c r="I321" i="1"/>
  <c r="J321" i="1" s="1"/>
  <c r="I133" i="1"/>
  <c r="J133" i="1" s="1"/>
  <c r="G133" i="1"/>
  <c r="G132" i="1"/>
  <c r="I193" i="1"/>
  <c r="J193" i="1" s="1"/>
  <c r="I290" i="1"/>
  <c r="I291" i="1" s="1"/>
  <c r="D289" i="1" s="1"/>
  <c r="G290" i="1"/>
  <c r="L315" i="1"/>
  <c r="M315" i="1" s="1"/>
  <c r="N315" i="1" s="1"/>
  <c r="P315" i="1" s="1"/>
  <c r="I204" i="1"/>
  <c r="J204" i="1" s="1"/>
  <c r="G288" i="1"/>
  <c r="M381" i="1"/>
  <c r="I383" i="1"/>
  <c r="J383" i="1" s="1"/>
  <c r="I381" i="1"/>
  <c r="J381" i="1" s="1"/>
  <c r="I358" i="1"/>
  <c r="J358" i="1" s="1"/>
  <c r="M356" i="1"/>
  <c r="M351" i="1"/>
  <c r="I356" i="1"/>
  <c r="J356" i="1" s="1"/>
  <c r="L356" i="1" s="1"/>
  <c r="I378" i="1"/>
  <c r="J378" i="1" s="1"/>
  <c r="L378" i="1" s="1"/>
  <c r="M378" i="1" s="1"/>
  <c r="I353" i="1"/>
  <c r="J353" i="1" s="1"/>
  <c r="L353" i="1" s="1"/>
  <c r="M353" i="1" s="1"/>
  <c r="I351" i="1"/>
  <c r="J351" i="1" s="1"/>
  <c r="L351" i="1" s="1"/>
  <c r="I376" i="1"/>
  <c r="P375" i="1"/>
  <c r="Q375" i="1" s="1"/>
  <c r="M375" i="1"/>
  <c r="I375" i="1"/>
  <c r="J375" i="1" s="1"/>
  <c r="L375" i="1" s="1"/>
  <c r="J348" i="1"/>
  <c r="I607" i="1"/>
  <c r="J607" i="1" s="1"/>
  <c r="G607" i="1"/>
  <c r="I606" i="1"/>
  <c r="J606" i="1" s="1"/>
  <c r="G606" i="1"/>
  <c r="J605" i="1"/>
  <c r="G605" i="1"/>
  <c r="I604" i="1"/>
  <c r="J604" i="1" s="1"/>
  <c r="G604" i="1"/>
  <c r="I602" i="1"/>
  <c r="J602" i="1" s="1"/>
  <c r="G602" i="1"/>
  <c r="I601" i="1"/>
  <c r="J601" i="1" s="1"/>
  <c r="G601" i="1"/>
  <c r="I595" i="1"/>
  <c r="J595" i="1" s="1"/>
  <c r="G595" i="1"/>
  <c r="I594" i="1"/>
  <c r="J594" i="1" s="1"/>
  <c r="G594" i="1"/>
  <c r="I593" i="1"/>
  <c r="J593" i="1" s="1"/>
  <c r="G593" i="1"/>
  <c r="I592" i="1"/>
  <c r="J592" i="1" s="1"/>
  <c r="G592" i="1"/>
  <c r="I590" i="1"/>
  <c r="J590" i="1" s="1"/>
  <c r="G590" i="1"/>
  <c r="I589" i="1"/>
  <c r="J589" i="1" s="1"/>
  <c r="G589" i="1"/>
  <c r="I588" i="1"/>
  <c r="J588" i="1" s="1"/>
  <c r="G588" i="1"/>
  <c r="I587" i="1"/>
  <c r="J587" i="1" s="1"/>
  <c r="G587" i="1"/>
  <c r="I586" i="1"/>
  <c r="J586" i="1" s="1"/>
  <c r="G586" i="1"/>
  <c r="I580" i="1"/>
  <c r="J580" i="1" s="1"/>
  <c r="I579" i="1"/>
  <c r="J579" i="1" s="1"/>
  <c r="I578" i="1"/>
  <c r="J578" i="1" s="1"/>
  <c r="I577" i="1"/>
  <c r="J577" i="1" s="1"/>
  <c r="I576" i="1"/>
  <c r="J576" i="1" s="1"/>
  <c r="I574" i="1"/>
  <c r="J574" i="1" s="1"/>
  <c r="I573" i="1"/>
  <c r="I572" i="1"/>
  <c r="I571" i="1"/>
  <c r="G580" i="1"/>
  <c r="G579" i="1"/>
  <c r="G578" i="1"/>
  <c r="G577" i="1"/>
  <c r="G576" i="1"/>
  <c r="G574" i="1"/>
  <c r="I315" i="1"/>
  <c r="I316" i="1" s="1"/>
  <c r="D314" i="1" s="1"/>
  <c r="G315" i="1"/>
  <c r="G313" i="1"/>
  <c r="G204" i="1"/>
  <c r="G203" i="1"/>
  <c r="I147" i="1"/>
  <c r="J147" i="1" s="1"/>
  <c r="G147" i="1"/>
  <c r="G146" i="1"/>
  <c r="I200" i="1"/>
  <c r="J200" i="1" s="1"/>
  <c r="I198" i="1"/>
  <c r="J198" i="1" s="1"/>
  <c r="D254" i="1" l="1"/>
  <c r="G254" i="1" s="1"/>
  <c r="K608" i="1"/>
  <c r="K383" i="1"/>
  <c r="L383" i="1" s="1"/>
  <c r="M383" i="1" s="1"/>
  <c r="N383" i="1" s="1"/>
  <c r="N351" i="1"/>
  <c r="O351" i="1" s="1"/>
  <c r="N375" i="1"/>
  <c r="O375" i="1" s="1"/>
  <c r="J376" i="1" s="1"/>
  <c r="K376" i="1" s="1"/>
  <c r="J596" i="1"/>
  <c r="N356" i="1"/>
  <c r="O356" i="1" s="1"/>
  <c r="D316" i="1"/>
  <c r="G316" i="1" s="1"/>
  <c r="G314" i="1"/>
  <c r="N378" i="1"/>
  <c r="O378" i="1" s="1"/>
  <c r="P378" i="1" s="1"/>
  <c r="Q378" i="1" s="1"/>
  <c r="L381" i="1"/>
  <c r="O381" i="1" s="1"/>
  <c r="G289" i="1"/>
  <c r="D291" i="1"/>
  <c r="G291" i="1" s="1"/>
  <c r="J608" i="1"/>
  <c r="I308" i="1"/>
  <c r="G308" i="1"/>
  <c r="I307" i="1"/>
  <c r="G307" i="1"/>
  <c r="J304" i="1"/>
  <c r="K304" i="1" s="1"/>
  <c r="L304" i="1" s="1"/>
  <c r="I304" i="1"/>
  <c r="G304" i="1"/>
  <c r="J303" i="1"/>
  <c r="K303" i="1" s="1"/>
  <c r="L303" i="1" s="1"/>
  <c r="I303" i="1"/>
  <c r="G303" i="1"/>
  <c r="J300" i="1"/>
  <c r="K300" i="1" s="1"/>
  <c r="L300" i="1" s="1"/>
  <c r="I300" i="1"/>
  <c r="G300" i="1"/>
  <c r="J299" i="1"/>
  <c r="K299" i="1" s="1"/>
  <c r="L299" i="1" s="1"/>
  <c r="I299" i="1"/>
  <c r="G299" i="1"/>
  <c r="J296" i="1"/>
  <c r="I296" i="1"/>
  <c r="G296" i="1"/>
  <c r="J295" i="1"/>
  <c r="I295" i="1"/>
  <c r="G295" i="1"/>
  <c r="I285" i="1"/>
  <c r="G285" i="1"/>
  <c r="I281" i="1"/>
  <c r="G281" i="1"/>
  <c r="I280" i="1"/>
  <c r="G280" i="1"/>
  <c r="K274" i="1"/>
  <c r="L274" i="1" s="1"/>
  <c r="I272" i="1"/>
  <c r="G272" i="1"/>
  <c r="J271" i="1"/>
  <c r="K271" i="1" s="1"/>
  <c r="L271" i="1" s="1"/>
  <c r="I271" i="1"/>
  <c r="G271" i="1"/>
  <c r="J258" i="1"/>
  <c r="K258" i="1" s="1"/>
  <c r="L608" i="1" l="1"/>
  <c r="I305" i="1"/>
  <c r="D302" i="1" s="1"/>
  <c r="D305" i="1" s="1"/>
  <c r="G305" i="1" s="1"/>
  <c r="I309" i="1"/>
  <c r="D306" i="1" s="1"/>
  <c r="D309" i="1" s="1"/>
  <c r="G309" i="1" s="1"/>
  <c r="I301" i="1"/>
  <c r="D298" i="1" s="1"/>
  <c r="D301" i="1" s="1"/>
  <c r="G301" i="1" s="1"/>
  <c r="I297" i="1"/>
  <c r="I286" i="1"/>
  <c r="D283" i="1" s="1"/>
  <c r="D286" i="1" s="1"/>
  <c r="G286" i="1" s="1"/>
  <c r="I282" i="1"/>
  <c r="D279" i="1" s="1"/>
  <c r="D282" i="1" s="1"/>
  <c r="G282" i="1" s="1"/>
  <c r="I273" i="1"/>
  <c r="I268" i="1"/>
  <c r="G268" i="1"/>
  <c r="J267" i="1"/>
  <c r="K267" i="1" s="1"/>
  <c r="L267" i="1" s="1"/>
  <c r="I267" i="1"/>
  <c r="G267" i="1"/>
  <c r="J264" i="1"/>
  <c r="K264" i="1" s="1"/>
  <c r="L264" i="1" s="1"/>
  <c r="I264" i="1"/>
  <c r="G264" i="1"/>
  <c r="J263" i="1"/>
  <c r="K263" i="1" s="1"/>
  <c r="L263" i="1" s="1"/>
  <c r="I263" i="1"/>
  <c r="G263" i="1"/>
  <c r="J260" i="1"/>
  <c r="K260" i="1" s="1"/>
  <c r="L260" i="1" s="1"/>
  <c r="I260" i="1"/>
  <c r="G260" i="1"/>
  <c r="I259" i="1"/>
  <c r="G259" i="1"/>
  <c r="L258" i="1"/>
  <c r="I258" i="1"/>
  <c r="G258" i="1"/>
  <c r="I249" i="1"/>
  <c r="G249" i="1"/>
  <c r="I248" i="1"/>
  <c r="G248" i="1"/>
  <c r="I245" i="1"/>
  <c r="G245" i="1"/>
  <c r="I241" i="1"/>
  <c r="G241" i="1"/>
  <c r="I240" i="1"/>
  <c r="G240" i="1"/>
  <c r="K236" i="1"/>
  <c r="L236" i="1" s="1"/>
  <c r="J172" i="1"/>
  <c r="K172" i="1" s="1"/>
  <c r="J229" i="1"/>
  <c r="K229" i="1" s="1"/>
  <c r="L229" i="1" s="1"/>
  <c r="I229" i="1"/>
  <c r="G229" i="1"/>
  <c r="I223" i="1"/>
  <c r="G223" i="1"/>
  <c r="J222" i="1"/>
  <c r="K222" i="1" s="1"/>
  <c r="L222" i="1" s="1"/>
  <c r="I222" i="1"/>
  <c r="G222" i="1"/>
  <c r="I202" i="1"/>
  <c r="K311" i="1" s="1"/>
  <c r="L311" i="1" s="1"/>
  <c r="I145" i="1"/>
  <c r="K125" i="1"/>
  <c r="I125" i="1"/>
  <c r="J125" i="1" s="1"/>
  <c r="I110" i="1"/>
  <c r="J110" i="1" s="1"/>
  <c r="I126" i="1"/>
  <c r="J126" i="1" s="1"/>
  <c r="I116" i="1"/>
  <c r="I115" i="1"/>
  <c r="I114" i="1"/>
  <c r="I131" i="1"/>
  <c r="I130" i="1"/>
  <c r="I176" i="1"/>
  <c r="I175" i="1"/>
  <c r="I174" i="1"/>
  <c r="I197" i="1"/>
  <c r="J197" i="1" s="1"/>
  <c r="G200" i="1"/>
  <c r="I199" i="1"/>
  <c r="J199" i="1" s="1"/>
  <c r="G199" i="1"/>
  <c r="G198" i="1"/>
  <c r="G197" i="1"/>
  <c r="J187" i="1"/>
  <c r="I187" i="1"/>
  <c r="J128" i="1"/>
  <c r="I128" i="1"/>
  <c r="I185" i="1"/>
  <c r="J185" i="1" s="1"/>
  <c r="K184" i="1"/>
  <c r="K183" i="1"/>
  <c r="L183" i="1" s="1"/>
  <c r="I183" i="1"/>
  <c r="J183" i="1" s="1"/>
  <c r="I182" i="1"/>
  <c r="J182" i="1" s="1"/>
  <c r="G185" i="1"/>
  <c r="I184" i="1"/>
  <c r="J184" i="1" s="1"/>
  <c r="G184" i="1"/>
  <c r="G183" i="1"/>
  <c r="G182" i="1"/>
  <c r="I168" i="1"/>
  <c r="J168" i="1" s="1"/>
  <c r="G172" i="1"/>
  <c r="I170" i="1"/>
  <c r="J170" i="1" s="1"/>
  <c r="G170" i="1"/>
  <c r="I169" i="1"/>
  <c r="J169" i="1" s="1"/>
  <c r="G169" i="1"/>
  <c r="G168" i="1"/>
  <c r="K145" i="1"/>
  <c r="J145" i="1"/>
  <c r="G144" i="1"/>
  <c r="G145" i="1"/>
  <c r="I143" i="1"/>
  <c r="J143" i="1" s="1"/>
  <c r="I142" i="1"/>
  <c r="J142" i="1" s="1"/>
  <c r="I141" i="1"/>
  <c r="J141" i="1" s="1"/>
  <c r="I140" i="1"/>
  <c r="J140" i="1" s="1"/>
  <c r="G143" i="1"/>
  <c r="G142" i="1"/>
  <c r="G131" i="1"/>
  <c r="G130" i="1"/>
  <c r="I124" i="1"/>
  <c r="J124" i="1" s="1"/>
  <c r="I123" i="1"/>
  <c r="J123" i="1" s="1"/>
  <c r="K124" i="1"/>
  <c r="L124" i="1" s="1"/>
  <c r="G126" i="1"/>
  <c r="G125" i="1"/>
  <c r="G124" i="1"/>
  <c r="G123" i="1"/>
  <c r="J112" i="1"/>
  <c r="K112" i="1" s="1"/>
  <c r="L112" i="1" s="1"/>
  <c r="G116" i="1"/>
  <c r="G115" i="1"/>
  <c r="G114" i="1"/>
  <c r="I109" i="1"/>
  <c r="J109" i="1" s="1"/>
  <c r="I108" i="1"/>
  <c r="J108" i="1" s="1"/>
  <c r="I191" i="1"/>
  <c r="G191" i="1"/>
  <c r="I190" i="1"/>
  <c r="G190" i="1"/>
  <c r="I189" i="1"/>
  <c r="G189" i="1"/>
  <c r="G176" i="1"/>
  <c r="G175" i="1"/>
  <c r="G174" i="1"/>
  <c r="I246" i="1" l="1"/>
  <c r="D243" i="1" s="1"/>
  <c r="G243" i="1" s="1"/>
  <c r="G302" i="1"/>
  <c r="G306" i="1"/>
  <c r="G298" i="1"/>
  <c r="G283" i="1"/>
  <c r="G279" i="1"/>
  <c r="I269" i="1"/>
  <c r="D266" i="1" s="1"/>
  <c r="G266" i="1" s="1"/>
  <c r="I250" i="1"/>
  <c r="D247" i="1" s="1"/>
  <c r="D250" i="1" s="1"/>
  <c r="G250" i="1" s="1"/>
  <c r="I261" i="1"/>
  <c r="D257" i="1" s="1"/>
  <c r="D261" i="1" s="1"/>
  <c r="G261" i="1" s="1"/>
  <c r="I265" i="1"/>
  <c r="D262" i="1" s="1"/>
  <c r="D265" i="1" s="1"/>
  <c r="G265" i="1" s="1"/>
  <c r="M183" i="1"/>
  <c r="I242" i="1"/>
  <c r="D239" i="1" s="1"/>
  <c r="D242" i="1" s="1"/>
  <c r="G242" i="1" s="1"/>
  <c r="M236" i="1"/>
  <c r="N236" i="1" s="1"/>
  <c r="L145" i="1"/>
  <c r="M145" i="1" s="1"/>
  <c r="K128" i="1"/>
  <c r="K187" i="1"/>
  <c r="L184" i="1"/>
  <c r="L125" i="1"/>
  <c r="M124" i="1"/>
  <c r="G103" i="1"/>
  <c r="D56" i="1"/>
  <c r="G55" i="1"/>
  <c r="D246" i="1" l="1"/>
  <c r="G246" i="1" s="1"/>
  <c r="G247" i="1"/>
  <c r="G239" i="1"/>
  <c r="D269" i="1"/>
  <c r="G269" i="1" s="1"/>
  <c r="G257" i="1"/>
  <c r="G262" i="1"/>
  <c r="I527" i="1"/>
  <c r="I747" i="1"/>
  <c r="G745" i="1"/>
  <c r="G744" i="1"/>
  <c r="I989" i="1" l="1"/>
  <c r="G992" i="1"/>
  <c r="G989" i="1"/>
  <c r="G988" i="1"/>
  <c r="D986" i="1"/>
  <c r="G980" i="1"/>
  <c r="G868" i="1"/>
  <c r="G821" i="1"/>
  <c r="G751" i="1"/>
  <c r="G521" i="1"/>
  <c r="G519" i="1"/>
  <c r="G438" i="1"/>
  <c r="G437" i="1"/>
  <c r="G436" i="1"/>
  <c r="G435" i="1"/>
  <c r="G433" i="1"/>
  <c r="G422" i="1"/>
  <c r="G418" i="1"/>
  <c r="G610" i="1"/>
  <c r="G609" i="1"/>
  <c r="G363" i="1"/>
  <c r="G362" i="1"/>
  <c r="G361" i="1"/>
  <c r="G360" i="1"/>
  <c r="G358" i="1"/>
  <c r="G357" i="1"/>
  <c r="G356" i="1"/>
  <c r="G355" i="1"/>
  <c r="J571" i="1"/>
  <c r="J572" i="1"/>
  <c r="K581" i="1" s="1"/>
  <c r="G571" i="1"/>
  <c r="G572" i="1"/>
  <c r="I311" i="1"/>
  <c r="I276" i="1"/>
  <c r="G276" i="1"/>
  <c r="M311" i="1"/>
  <c r="N311" i="1" s="1"/>
  <c r="O311" i="1" s="1"/>
  <c r="M274" i="1"/>
  <c r="N274" i="1" s="1"/>
  <c r="J164" i="1"/>
  <c r="G164" i="1"/>
  <c r="G163" i="1"/>
  <c r="L128" i="1"/>
  <c r="G311" i="1"/>
  <c r="J228" i="1"/>
  <c r="K228" i="1" s="1"/>
  <c r="L228" i="1" s="1"/>
  <c r="I312" i="1" l="1"/>
  <c r="D310" i="1" s="1"/>
  <c r="G310" i="1" s="1"/>
  <c r="D294" i="1"/>
  <c r="D270" i="1"/>
  <c r="D273" i="1" s="1"/>
  <c r="G273" i="1" s="1"/>
  <c r="I232" i="1"/>
  <c r="G232" i="1"/>
  <c r="J232" i="1"/>
  <c r="K232" i="1" s="1"/>
  <c r="L232" i="1" s="1"/>
  <c r="J224" i="1"/>
  <c r="K224" i="1" s="1"/>
  <c r="L224" i="1" s="1"/>
  <c r="I228" i="1"/>
  <c r="G228" i="1"/>
  <c r="G294" i="1" l="1"/>
  <c r="D297" i="1"/>
  <c r="G297" i="1" s="1"/>
  <c r="D312" i="1"/>
  <c r="G312" i="1" s="1"/>
  <c r="G270" i="1"/>
  <c r="L284" i="1"/>
  <c r="N284" i="1" s="1"/>
  <c r="L280" i="1"/>
  <c r="M280" i="1" s="1"/>
  <c r="N280" i="1" s="1"/>
  <c r="J280" i="1"/>
  <c r="L244" i="1"/>
  <c r="M244" i="1" s="1"/>
  <c r="L240" i="1"/>
  <c r="M240" i="1" s="1"/>
  <c r="N240" i="1" s="1"/>
  <c r="K197" i="1"/>
  <c r="L197" i="1" s="1"/>
  <c r="G193" i="1"/>
  <c r="G192" i="1"/>
  <c r="G202" i="1"/>
  <c r="G201" i="1"/>
  <c r="G158" i="1"/>
  <c r="G157" i="1"/>
  <c r="G156" i="1"/>
  <c r="N244" i="1" l="1"/>
  <c r="O244" i="1" s="1"/>
  <c r="P244" i="1" s="1"/>
  <c r="Q244" i="1" s="1"/>
  <c r="M284" i="1"/>
  <c r="O284" i="1" s="1"/>
  <c r="P284" i="1" s="1"/>
  <c r="Q284" i="1" s="1"/>
  <c r="M197" i="1"/>
  <c r="G141" i="1"/>
  <c r="G140" i="1"/>
  <c r="G100" i="1" l="1"/>
  <c r="G1131" i="1" l="1"/>
  <c r="C18" i="2" s="1"/>
  <c r="G1072" i="1"/>
  <c r="C17" i="2" s="1"/>
  <c r="G986" i="1"/>
  <c r="G985" i="1"/>
  <c r="G983" i="1"/>
  <c r="G981" i="1"/>
  <c r="G979" i="1"/>
  <c r="G978" i="1"/>
  <c r="G975" i="1"/>
  <c r="F27" i="1" l="1"/>
  <c r="G1013" i="1" l="1"/>
  <c r="C16" i="2" s="1"/>
  <c r="G34" i="1"/>
  <c r="G33" i="1"/>
  <c r="G937" i="1"/>
  <c r="G936" i="1"/>
  <c r="I760" i="1"/>
  <c r="I724" i="1"/>
  <c r="I719" i="1"/>
  <c r="I714" i="1"/>
  <c r="J724" i="1" l="1"/>
  <c r="G483" i="1"/>
  <c r="G482" i="1"/>
  <c r="J429" i="1"/>
  <c r="I429" i="1"/>
  <c r="K486" i="1"/>
  <c r="J573" i="1"/>
  <c r="G597" i="1"/>
  <c r="I275" i="1"/>
  <c r="G275" i="1"/>
  <c r="J581" i="1" l="1"/>
  <c r="L581" i="1" s="1"/>
  <c r="I277" i="1"/>
  <c r="D274" i="1" s="1"/>
  <c r="L420" i="1"/>
  <c r="R274" i="1"/>
  <c r="M319" i="1"/>
  <c r="G187" i="1"/>
  <c r="G186" i="1"/>
  <c r="G128" i="1"/>
  <c r="G127" i="1"/>
  <c r="G274" i="1" l="1"/>
  <c r="D277" i="1"/>
  <c r="G277" i="1" s="1"/>
  <c r="G786" i="1" l="1"/>
  <c r="K105" i="1" l="1"/>
  <c r="L105" i="1" l="1"/>
  <c r="G524" i="1" l="1"/>
  <c r="G394" i="1"/>
  <c r="G878" i="1" l="1"/>
  <c r="G874" i="1"/>
  <c r="G816" i="1"/>
  <c r="D815" i="1"/>
  <c r="G815" i="1" s="1"/>
  <c r="G814" i="1"/>
  <c r="D813" i="1"/>
  <c r="G813" i="1" s="1"/>
  <c r="G812" i="1"/>
  <c r="D811" i="1"/>
  <c r="G811" i="1" s="1"/>
  <c r="D810" i="1"/>
  <c r="G810" i="1" s="1"/>
  <c r="G809" i="1"/>
  <c r="G808" i="1"/>
  <c r="D789" i="1"/>
  <c r="G789" i="1" s="1"/>
  <c r="D787" i="1"/>
  <c r="G787" i="1" s="1"/>
  <c r="D785" i="1"/>
  <c r="G785" i="1" s="1"/>
  <c r="D784" i="1"/>
  <c r="G784" i="1" s="1"/>
  <c r="G793" i="1"/>
  <c r="G788" i="1"/>
  <c r="G428" i="1"/>
  <c r="G676" i="1" l="1"/>
  <c r="G797" i="1" l="1"/>
  <c r="G323" i="1"/>
  <c r="G322" i="1"/>
  <c r="G582" i="1" l="1"/>
  <c r="I217" i="1" l="1"/>
  <c r="G741" i="1"/>
  <c r="D896" i="1"/>
  <c r="G896" i="1" s="1"/>
  <c r="G897" i="1"/>
  <c r="D895" i="1"/>
  <c r="D894" i="1"/>
  <c r="D893" i="1"/>
  <c r="G888" i="1"/>
  <c r="G887" i="1"/>
  <c r="G870" i="1"/>
  <c r="G871" i="1"/>
  <c r="G806" i="1"/>
  <c r="G805" i="1"/>
  <c r="G783" i="1"/>
  <c r="G782" i="1"/>
  <c r="G781" i="1"/>
  <c r="D762" i="1" l="1"/>
  <c r="G762" i="1" s="1"/>
  <c r="G764" i="1"/>
  <c r="G763" i="1"/>
  <c r="D761" i="1"/>
  <c r="G761" i="1" s="1"/>
  <c r="G760" i="1"/>
  <c r="J759" i="1"/>
  <c r="G759" i="1"/>
  <c r="G758" i="1"/>
  <c r="G750" i="1"/>
  <c r="G749" i="1"/>
  <c r="J719" i="1"/>
  <c r="G719" i="1"/>
  <c r="G747" i="1"/>
  <c r="G670" i="1"/>
  <c r="G669" i="1"/>
  <c r="G479" i="1"/>
  <c r="G430" i="1"/>
  <c r="G429" i="1"/>
  <c r="G427" i="1"/>
  <c r="G388" i="1"/>
  <c r="G387" i="1"/>
  <c r="G386" i="1"/>
  <c r="G385" i="1"/>
  <c r="D373" i="1"/>
  <c r="D331" i="1" s="1"/>
  <c r="G353" i="1"/>
  <c r="G321" i="1"/>
  <c r="G320" i="1"/>
  <c r="G317" i="1"/>
  <c r="G318" i="1"/>
  <c r="G319" i="1"/>
  <c r="G330" i="1"/>
  <c r="G332" i="1"/>
  <c r="I233" i="1"/>
  <c r="I224" i="1"/>
  <c r="I225" i="1" s="1"/>
  <c r="G233" i="1"/>
  <c r="G702" i="1" l="1"/>
  <c r="G331" i="1"/>
  <c r="K429" i="1"/>
  <c r="I234" i="1"/>
  <c r="D231" i="1" s="1"/>
  <c r="I236" i="1"/>
  <c r="I237" i="1" s="1"/>
  <c r="D235" i="1" s="1"/>
  <c r="G236" i="1"/>
  <c r="D221" i="1"/>
  <c r="G224" i="1"/>
  <c r="G178" i="1"/>
  <c r="G177" i="1"/>
  <c r="G171" i="1"/>
  <c r="G160" i="1"/>
  <c r="G159" i="1"/>
  <c r="G112" i="1"/>
  <c r="G111" i="1"/>
  <c r="G110" i="1"/>
  <c r="G109" i="1"/>
  <c r="G108" i="1"/>
  <c r="G118" i="1"/>
  <c r="G117" i="1"/>
  <c r="G105" i="1"/>
  <c r="G104" i="1"/>
  <c r="I118" i="1"/>
  <c r="J118" i="1" s="1"/>
  <c r="K118" i="1" s="1"/>
  <c r="D225" i="1" l="1"/>
  <c r="G225" i="1" s="1"/>
  <c r="G231" i="1"/>
  <c r="D234" i="1"/>
  <c r="G234" i="1" s="1"/>
  <c r="I230" i="1"/>
  <c r="D227" i="1" s="1"/>
  <c r="D237" i="1"/>
  <c r="G237" i="1" s="1"/>
  <c r="G235" i="1"/>
  <c r="G221" i="1"/>
  <c r="L405" i="1"/>
  <c r="K405" i="1"/>
  <c r="K406" i="1"/>
  <c r="G227" i="1" l="1"/>
  <c r="D230" i="1"/>
  <c r="G230" i="1" s="1"/>
  <c r="M405" i="1"/>
  <c r="N406" i="1" s="1"/>
  <c r="O406" i="1" s="1"/>
  <c r="K407" i="1"/>
  <c r="L407" i="1" s="1"/>
  <c r="M407" i="1" s="1"/>
  <c r="G880" i="1" l="1"/>
  <c r="G881" i="1"/>
  <c r="G822" i="1"/>
  <c r="G823" i="1"/>
  <c r="G727" i="1"/>
  <c r="G391" i="1"/>
  <c r="G383" i="1"/>
  <c r="G382" i="1"/>
  <c r="G381" i="1"/>
  <c r="G390" i="1"/>
  <c r="L427" i="1" l="1"/>
  <c r="G724" i="1" l="1"/>
  <c r="G723" i="1"/>
  <c r="G722" i="1"/>
  <c r="G432" i="1"/>
  <c r="G903" i="1" l="1"/>
  <c r="G740" i="1"/>
  <c r="G766" i="1" s="1"/>
  <c r="G420" i="1"/>
  <c r="G417" i="1"/>
  <c r="G413" i="1"/>
  <c r="D882" i="1"/>
  <c r="J475" i="1"/>
  <c r="I475" i="1"/>
  <c r="K475" i="1" l="1"/>
  <c r="G32" i="1" l="1"/>
  <c r="L217" i="1" l="1"/>
  <c r="G818" i="1" l="1"/>
  <c r="G817" i="1"/>
  <c r="G902" i="1" l="1"/>
  <c r="G895" i="1"/>
  <c r="G883" i="1" l="1"/>
  <c r="G373" i="1" l="1"/>
  <c r="G378" i="1" l="1"/>
  <c r="G377" i="1"/>
  <c r="G376" i="1"/>
  <c r="G375" i="1"/>
  <c r="G380" i="1"/>
  <c r="M486" i="1" l="1"/>
  <c r="G573" i="1" l="1"/>
  <c r="G657" i="1" l="1"/>
  <c r="G99" i="1"/>
  <c r="G98" i="1"/>
  <c r="G876" i="1" l="1"/>
  <c r="G885" i="1"/>
  <c r="G879" i="1"/>
  <c r="G875" i="1"/>
  <c r="G877" i="1"/>
  <c r="G486" i="1" l="1"/>
  <c r="G217" i="1" l="1"/>
  <c r="I218" i="1" l="1"/>
  <c r="G889" i="1" l="1"/>
  <c r="G892" i="1"/>
  <c r="G893" i="1"/>
  <c r="G894" i="1"/>
  <c r="G866" i="1"/>
  <c r="G865" i="1"/>
  <c r="G867" i="1"/>
  <c r="G873" i="1"/>
  <c r="G882" i="1"/>
  <c r="G884" i="1"/>
  <c r="G213" i="1"/>
  <c r="D216" i="1"/>
  <c r="G890" i="1" l="1"/>
  <c r="G891" i="1"/>
  <c r="D212" i="1"/>
  <c r="D218" i="1"/>
  <c r="G218" i="1" s="1"/>
  <c r="G216" i="1"/>
  <c r="G970" i="1" l="1"/>
  <c r="C15" i="2" s="1"/>
  <c r="D215" i="1"/>
  <c r="G215" i="1" s="1"/>
  <c r="G212" i="1"/>
  <c r="G23" i="1" l="1"/>
  <c r="G796" i="1" l="1"/>
  <c r="G795" i="1"/>
  <c r="G794" i="1"/>
  <c r="G780" i="1"/>
  <c r="G779" i="1"/>
  <c r="G778" i="1"/>
  <c r="G776" i="1"/>
  <c r="G851" i="1" l="1"/>
  <c r="C13" i="2"/>
  <c r="G714" i="1" l="1"/>
  <c r="G424" i="1" l="1"/>
  <c r="G412" i="1"/>
  <c r="G559" i="1" l="1"/>
  <c r="G352" i="1"/>
  <c r="G350" i="1"/>
  <c r="G102" i="1" l="1"/>
  <c r="G101" i="1"/>
  <c r="G60" i="1"/>
  <c r="G59" i="1"/>
  <c r="G58" i="1"/>
  <c r="G57" i="1"/>
  <c r="G56" i="1"/>
  <c r="G54" i="1"/>
  <c r="G24" i="1"/>
  <c r="G25" i="1"/>
  <c r="G26" i="1"/>
  <c r="G27" i="1"/>
  <c r="G718" i="1" l="1"/>
  <c r="G717" i="1"/>
  <c r="G713" i="1"/>
  <c r="G712" i="1"/>
  <c r="G22" i="1"/>
  <c r="G732" i="1" l="1"/>
  <c r="G31" i="1"/>
  <c r="G30" i="1"/>
  <c r="G28" i="1"/>
  <c r="G44" i="1" l="1"/>
  <c r="C5" i="2" s="1"/>
  <c r="C14" i="2"/>
  <c r="C10" i="2"/>
  <c r="G351" i="1" l="1"/>
  <c r="G348" i="1" l="1"/>
  <c r="G404" i="1" s="1"/>
  <c r="C11" i="2" l="1"/>
  <c r="G864" i="1" l="1"/>
  <c r="G89" i="1" l="1"/>
  <c r="C6" i="2" l="1"/>
  <c r="C12" i="2" l="1"/>
  <c r="C9" i="2" l="1"/>
  <c r="C8" i="2" l="1"/>
  <c r="G337" i="1"/>
  <c r="C7" i="2" s="1"/>
  <c r="C19" i="2" l="1"/>
  <c r="C20" i="2" s="1"/>
  <c r="C21" i="2" s="1"/>
  <c r="F16" i="2" l="1"/>
  <c r="F19" i="2"/>
  <c r="F18" i="2"/>
</calcChain>
</file>

<file path=xl/sharedStrings.xml><?xml version="1.0" encoding="utf-8"?>
<sst xmlns="http://schemas.openxmlformats.org/spreadsheetml/2006/main" count="1528" uniqueCount="536">
  <si>
    <t>Item</t>
  </si>
  <si>
    <t>Description</t>
  </si>
  <si>
    <t>Unit</t>
  </si>
  <si>
    <t>Qty</t>
  </si>
  <si>
    <t>Material
Rate</t>
  </si>
  <si>
    <t>Labour
Rate</t>
  </si>
  <si>
    <t>Total</t>
  </si>
  <si>
    <t>(1)</t>
  </si>
  <si>
    <t>nos</t>
  </si>
  <si>
    <t>kg</t>
  </si>
  <si>
    <t>2.2</t>
  </si>
  <si>
    <t>REINFORCEMENT WORK</t>
  </si>
  <si>
    <t>FORM WORK</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</si>
  <si>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</si>
  <si>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</si>
  <si>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</si>
  <si>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</si>
  <si>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</si>
  <si>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</si>
  <si>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</si>
  <si>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</si>
  <si>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</si>
  <si>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</si>
  <si>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</si>
  <si>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</si>
  <si>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</si>
  <si>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</si>
  <si>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</si>
  <si>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</si>
  <si>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</si>
  <si>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</si>
  <si>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</si>
  <si>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</si>
  <si>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</si>
  <si>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</si>
  <si>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</si>
  <si>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</si>
  <si>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</si>
  <si>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</si>
  <si>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</si>
  <si>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</si>
  <si>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m²</t>
  </si>
  <si>
    <t>m³</t>
  </si>
  <si>
    <t>2.4</t>
  </si>
  <si>
    <t>Back filling</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</si>
  <si>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</si>
  <si>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</si>
  <si>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</si>
  <si>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</si>
  <si>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</si>
  <si>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</si>
  <si>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</si>
  <si>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</si>
  <si>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</si>
  <si>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(a)</t>
  </si>
  <si>
    <t>(b)</t>
  </si>
  <si>
    <t>GROUND FLOOR</t>
  </si>
  <si>
    <t>3.2</t>
  </si>
  <si>
    <t>FIRST FLOOR</t>
  </si>
  <si>
    <t>(c)</t>
  </si>
  <si>
    <t>SECOND FLOOR</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</si>
  <si>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</si>
  <si>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</si>
  <si>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</si>
  <si>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</si>
  <si>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</si>
  <si>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</si>
  <si>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</si>
  <si>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</si>
  <si>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</si>
  <si>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</si>
  <si>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</si>
  <si>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</si>
  <si>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</si>
  <si>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</si>
  <si>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</si>
  <si>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</si>
  <si>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</si>
  <si>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</si>
  <si>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</si>
  <si>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</si>
  <si>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</si>
  <si>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</si>
  <si>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</si>
  <si>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</si>
  <si>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</si>
  <si>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</si>
  <si>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</si>
  <si>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</si>
  <si>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</si>
  <si>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</si>
  <si>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</si>
  <si>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</si>
  <si>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</si>
  <si>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</si>
  <si>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</si>
  <si>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</si>
  <si>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</si>
  <si>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</si>
  <si>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</si>
  <si>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</si>
  <si>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</si>
  <si>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</si>
  <si>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</si>
  <si>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</si>
  <si>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</si>
  <si>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</si>
  <si>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</si>
  <si>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</si>
  <si>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</si>
  <si>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</si>
  <si>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</si>
  <si>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</si>
  <si>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</si>
  <si>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</si>
  <si>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</si>
  <si>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</si>
  <si>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</si>
  <si>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</si>
  <si>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</si>
  <si>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</si>
  <si>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</si>
  <si>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 xml:space="preserve">Toilet paper holder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</si>
  <si>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</si>
  <si>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</si>
  <si>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</si>
  <si>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</si>
  <si>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</si>
  <si>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</si>
  <si>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</si>
  <si>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</si>
  <si>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</si>
  <si>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</si>
  <si>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</si>
  <si>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</si>
  <si>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</si>
  <si>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</si>
  <si>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</si>
  <si>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</si>
  <si>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</si>
  <si>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</si>
  <si>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</si>
  <si>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</si>
  <si>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</si>
  <si>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</si>
  <si>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</si>
  <si>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</si>
  <si>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</si>
  <si>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</si>
  <si>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</si>
  <si>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</si>
  <si>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</si>
  <si>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WOOD WORK &amp;  CEILING</t>
  </si>
  <si>
    <t>1 )</t>
  </si>
  <si>
    <t>2 )</t>
  </si>
  <si>
    <t>5.5</t>
  </si>
  <si>
    <t>6.1</t>
  </si>
  <si>
    <t>7.2</t>
  </si>
  <si>
    <t>9.2</t>
  </si>
  <si>
    <t>COLUMNS</t>
  </si>
  <si>
    <t>TOTAL OF BILL No: 03 - Carried over to summary</t>
  </si>
  <si>
    <t>1.5</t>
  </si>
  <si>
    <t xml:space="preserve">                                                                                                                                                                                                                </t>
  </si>
  <si>
    <t>3 )</t>
  </si>
  <si>
    <t>4 )</t>
  </si>
  <si>
    <t>5 )</t>
  </si>
  <si>
    <t>6 )</t>
  </si>
  <si>
    <t>7 )</t>
  </si>
  <si>
    <t>8 )</t>
  </si>
  <si>
    <t>9 )</t>
  </si>
  <si>
    <t>BILL No: 11 - ELECTRICAL INSTALLATIONS</t>
  </si>
  <si>
    <t xml:space="preserve">Floor drain with trap </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</si>
  <si>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</si>
  <si>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</si>
  <si>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</si>
  <si>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</si>
  <si>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</si>
  <si>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</si>
  <si>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</si>
  <si>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</si>
  <si>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</si>
  <si>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</si>
  <si>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</si>
  <si>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200mm thick Solid block wall</t>
  </si>
  <si>
    <t>STAIRCASE</t>
  </si>
  <si>
    <t>TOTAL OF BILL No: 04 - Carried over to summary</t>
  </si>
  <si>
    <t>R.C.C. GROUND FLOOR SLAB</t>
  </si>
  <si>
    <t>OTHER CONCRETE WORKS</t>
  </si>
  <si>
    <t>FLOORING</t>
  </si>
  <si>
    <t>Charges for Piping for  fresh water Pipe work</t>
  </si>
  <si>
    <t>Charges for Piping for Ground water supply pipe work.</t>
  </si>
  <si>
    <t>DRAINAGE</t>
  </si>
  <si>
    <t>GROUND FLOOR SLAB</t>
  </si>
  <si>
    <t>(e) All doors and windows shall be  accordance with  door/window drawing details.</t>
  </si>
  <si>
    <t xml:space="preserve">50mm thick Floor Screeding </t>
  </si>
  <si>
    <t>TILE ADHESIVE</t>
  </si>
  <si>
    <t>ELECTRIC BOARDS</t>
  </si>
  <si>
    <t>ELECTRIC FIXTURES</t>
  </si>
  <si>
    <t xml:space="preserve">ELECTRICAL WIRING </t>
  </si>
  <si>
    <t>Cabling to TV points</t>
  </si>
  <si>
    <t>Cabling to Telephone  points</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</si>
  <si>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</si>
  <si>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</si>
  <si>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</si>
  <si>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</si>
  <si>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</si>
  <si>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16mm dia deformed bars - 6m</t>
  </si>
  <si>
    <t>12mm dia deformed bars - 6m</t>
  </si>
  <si>
    <t>10mm dia deformed bars - 6m</t>
  </si>
  <si>
    <t>6mm dia MS Round bars - 6m</t>
  </si>
  <si>
    <t>FLOOR TILING</t>
  </si>
  <si>
    <t>WALL TILING</t>
  </si>
  <si>
    <t xml:space="preserve">SKIRTING </t>
  </si>
  <si>
    <t>(a) Rates shall include for: Fixing, bedding, grouting, and pointing materials, making good around pipes, sanitary fixtures, and similar; cleaning &amp; Polishing.</t>
  </si>
  <si>
    <t>(b) All Tiling work in accordance with specifications and finishes schedule.</t>
  </si>
  <si>
    <t>A )</t>
  </si>
  <si>
    <t>B )</t>
  </si>
  <si>
    <t>C )</t>
  </si>
  <si>
    <t>(c) Rates shall include for 9mm thick Cement board fixed on 35 x 50mm Timber frame,trimming, nails, screws,hooks, hangers,  clips and similar.</t>
  </si>
  <si>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</si>
  <si>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</si>
  <si>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</si>
  <si>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</si>
  <si>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</si>
  <si>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</si>
  <si>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</si>
  <si>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200x100x50mm MCPW solid 
block wall above all foundation beams.</t>
  </si>
  <si>
    <t>15mm thick Plastering</t>
  </si>
  <si>
    <t>Homogeneous/Porcelain Step Tiles</t>
  </si>
  <si>
    <t>300 x 300mm Non slip Ceramic Tiles</t>
  </si>
  <si>
    <t>300 x 600mm Polished Ceramic Wall Tiles.  (Rate shall include for 300 x 100mm Design border tiles @ 1200mm high on toilet walls)</t>
  </si>
  <si>
    <t>(a) Rates shall include for: all labour in framing, notching and fitting around projections, pipes, light fittings, hatches, grilles and similar and complete with cleats, packers, wedges and similar and all nails,bolts &amp; screws.</t>
  </si>
  <si>
    <t>Stop valves</t>
  </si>
  <si>
    <t>WATER PROOFING &amp; ADD MIXTURES</t>
  </si>
  <si>
    <t>(c) Ground water connection shall be made as 
specified in the drawings.</t>
  </si>
  <si>
    <t>(e) All pipes shall be High Pressure  uPVC 
"Mutha" or equivalent brand.</t>
  </si>
  <si>
    <t>Ceiling Fan, dia. 1200</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</si>
  <si>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</si>
  <si>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</si>
  <si>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</si>
  <si>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</si>
  <si>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(c) All Timber door frames shall be treated 
timber. Rate shall include for Paint/Varnish finish.</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</si>
  <si>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</si>
  <si>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</si>
  <si>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</si>
  <si>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</si>
  <si>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</si>
  <si>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(a) Rates shall include for: the provision, erection and removal of scaffolding, preparation, rubbing down between coats and similar work, the protection and/or masking floors, fittings and similar work, removing and 
replacing door and window furniture.</t>
  </si>
  <si>
    <t>Ceiling Light - L15</t>
  </si>
  <si>
    <t>Cabling to Data Network points</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</si>
  <si>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</si>
  <si>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</si>
  <si>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</si>
  <si>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100mm thick R.C. slab</t>
  </si>
  <si>
    <t>R.c.c. Staircase</t>
  </si>
  <si>
    <t>SLAB BEAMS</t>
  </si>
  <si>
    <t>FLOOR SLAB</t>
  </si>
  <si>
    <t>150mm thick R.c.c. Floor Slab</t>
  </si>
  <si>
    <t>4.4</t>
  </si>
  <si>
    <t>SLAB BEAM</t>
  </si>
  <si>
    <t>20mm dia deformed bars - 6m</t>
  </si>
  <si>
    <t>25mm dia deformed bars - 6m</t>
  </si>
  <si>
    <t>WINDOW SILL &amp; LINTELS</t>
  </si>
  <si>
    <t xml:space="preserve">Charges for construction of R.c.c. Sills and Lintels for the windows and doors as per details. Rate shall include for shuttering and Reinforcement works complete. </t>
  </si>
  <si>
    <t>PARAPET WALL</t>
  </si>
  <si>
    <t>Interior walls</t>
  </si>
  <si>
    <t>External walls</t>
  </si>
  <si>
    <t>Class rooms</t>
  </si>
  <si>
    <t>Store</t>
  </si>
  <si>
    <t>Staircase</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</si>
  <si>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</si>
  <si>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</si>
  <si>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</si>
  <si>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ROOFING</t>
  </si>
  <si>
    <t>Mtr</t>
  </si>
  <si>
    <t>50mm thick double side Aluminium Foiled Rock wool Insulation laid as heat resistant below roofing sheet.</t>
  </si>
  <si>
    <t>25mm grid G.I. mesh laid as support to under the Rock wool insulation</t>
  </si>
  <si>
    <t>Capping -  Supply and Fixing 600mm wide Lysaght Ridge Capping</t>
  </si>
  <si>
    <t>mtr</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</si>
  <si>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</si>
  <si>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</si>
  <si>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</si>
  <si>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</si>
  <si>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</si>
  <si>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Ceiling Light - L 07</t>
  </si>
  <si>
    <t>Ceiling Light - L10</t>
  </si>
  <si>
    <t>1 x 15A Power Socket - P15 &amp; P16</t>
  </si>
  <si>
    <t>2 Gang 1 way Switch - P20</t>
  </si>
  <si>
    <t>3 Gang 1 way Switch - P21</t>
  </si>
  <si>
    <t>4 Gang 1 way Switch - P22</t>
  </si>
  <si>
    <t>Fan Dimmer Switch - P23</t>
  </si>
  <si>
    <t>Telephone Socket outlet - T01</t>
  </si>
  <si>
    <t>TV  Socket outlet - T10</t>
  </si>
  <si>
    <t>VGA Sockets - VGA 01 &amp; VGA 02</t>
  </si>
  <si>
    <t>Cabling to Multi media Projectors</t>
  </si>
  <si>
    <t>Cabling to Speaker System</t>
  </si>
  <si>
    <t xml:space="preserve"> TOTAL           Mrf</t>
  </si>
  <si>
    <t>6% GST           Mrf</t>
  </si>
  <si>
    <t>GRAND TOTAL          Mrf</t>
  </si>
  <si>
    <t>10mm dia MS Round bars - 6m</t>
  </si>
  <si>
    <t>12</t>
  </si>
  <si>
    <t>TOTAL OF BILL No: 12 - Carried over to summary</t>
  </si>
  <si>
    <t>Multimedia Projector with Stand - MP01</t>
  </si>
  <si>
    <t>SHADING DEVICE</t>
  </si>
  <si>
    <t>WINDOW UNITS</t>
  </si>
  <si>
    <t>DOOR UNITS</t>
  </si>
  <si>
    <t>TYPE 01 - Coated Aluminium frame with Louvered aluminium panels, 3000 x 650mm</t>
  </si>
  <si>
    <t>TYPE 02 - Coated Aluminium frame with Louvered aluminium panels, 1800 x 650mm</t>
  </si>
  <si>
    <t>GROUND WATER WELL</t>
  </si>
  <si>
    <t>Charges for Construction and  Installation of 1200mm dia. R.c.c. Ground water well, Base slab &amp; Top cover slab as per drawing details. Rate shall include for; Excavation, form work, reinforcement, Lifting hooks, gravel filling etc complete.</t>
  </si>
  <si>
    <t>13</t>
  </si>
  <si>
    <t>14</t>
  </si>
  <si>
    <t>ADDITIONS</t>
  </si>
  <si>
    <t>OMISSIONS</t>
  </si>
  <si>
    <t>Provision  to include quantities as per the drawing which is missed in the bill of quantities.</t>
  </si>
  <si>
    <t>BILL No: 13</t>
  </si>
  <si>
    <t>Provision to remove excess quantity given in the bill quantities than the drawing details</t>
  </si>
  <si>
    <t>TOTAL OF BILL No: 13 - Carried over to summary</t>
  </si>
  <si>
    <t>BILL No: 14</t>
  </si>
  <si>
    <t>TOTAL OF BILL No: 14 - Carried over to summary</t>
  </si>
  <si>
    <t>Exhaust Fan (Mechanical Ventiator)</t>
  </si>
  <si>
    <t>1 Gang 1 way Switch - P19</t>
  </si>
  <si>
    <t>PLASTERING ADMIXTURE</t>
  </si>
  <si>
    <t>WC with basin (Cotto brand)</t>
  </si>
  <si>
    <t>Wash basin with trap (Cotto brand)</t>
  </si>
  <si>
    <t>Wash basin tap (Watertec brand)</t>
  </si>
  <si>
    <t>Muslim Shower (Watertec brand)</t>
  </si>
  <si>
    <t>Water taps (Watertec brand)</t>
  </si>
  <si>
    <t>(f)All Switches &amp; Sockets shall be  ABB OR CLIPSAL brand.</t>
  </si>
  <si>
    <t>Mirror set (1.5mtr L x 600mm H)</t>
  </si>
  <si>
    <t>(b) All painting work shall be carried in accordance with the Specifications</t>
  </si>
  <si>
    <t>(e) Rates shall include for supply and complete installation of fittings and fixtures.</t>
  </si>
  <si>
    <t>(d) Each Light/ light fixture and its switch is measured as one one point; similarly each fan or each socket outlet is measured as one point;</t>
  </si>
  <si>
    <t>BILL OF QUANTITIES</t>
  </si>
  <si>
    <r>
      <t>m</t>
    </r>
    <r>
      <rPr>
        <vertAlign val="superscript"/>
        <sz val="9"/>
        <color theme="1"/>
        <rFont val="Arial"/>
        <family val="2"/>
      </rPr>
      <t>3</t>
    </r>
  </si>
  <si>
    <r>
      <t>m</t>
    </r>
    <r>
      <rPr>
        <vertAlign val="superscript"/>
        <sz val="9"/>
        <rFont val="Arial"/>
        <family val="2"/>
      </rPr>
      <t>2</t>
    </r>
  </si>
  <si>
    <r>
      <t xml:space="preserve">Apply Rubberised bitumin water proofing paint, </t>
    </r>
    <r>
      <rPr>
        <b/>
        <sz val="9"/>
        <color theme="1"/>
        <rFont val="Arial"/>
        <family val="2"/>
      </rPr>
      <t>Conmix</t>
    </r>
    <r>
      <rPr>
        <sz val="9"/>
        <color theme="1"/>
        <rFont val="Arial"/>
        <family val="2"/>
      </rPr>
      <t xml:space="preserve"> </t>
    </r>
    <r>
      <rPr>
        <b/>
        <sz val="9"/>
        <color theme="1"/>
        <rFont val="Arial"/>
        <family val="2"/>
      </rPr>
      <t>Moya Shield RBE,</t>
    </r>
    <r>
      <rPr>
        <sz val="9"/>
        <color theme="1"/>
        <rFont val="Arial"/>
        <family val="2"/>
      </rPr>
      <t xml:space="preserve"> 2 coats to all exposed concrete and masonry surface below ground level.</t>
    </r>
  </si>
  <si>
    <r>
      <t>m</t>
    </r>
    <r>
      <rPr>
        <vertAlign val="superscript"/>
        <sz val="9"/>
        <color theme="1"/>
        <rFont val="Arial"/>
        <family val="2"/>
      </rPr>
      <t>2</t>
    </r>
  </si>
  <si>
    <r>
      <t xml:space="preserve">Add approved water proofing admixture </t>
    </r>
    <r>
      <rPr>
        <b/>
        <sz val="9"/>
        <color theme="1"/>
        <rFont val="Arial"/>
        <family val="2"/>
      </rPr>
      <t>Conmix</t>
    </r>
    <r>
      <rPr>
        <sz val="9"/>
        <color theme="1"/>
        <rFont val="Arial"/>
        <family val="2"/>
      </rPr>
      <t xml:space="preserve"> </t>
    </r>
    <r>
      <rPr>
        <b/>
        <sz val="9"/>
        <color theme="1"/>
        <rFont val="Arial"/>
        <family val="2"/>
      </rPr>
      <t>Mega Add WL1</t>
    </r>
    <r>
      <rPr>
        <sz val="9"/>
        <color theme="1"/>
        <rFont val="Arial"/>
        <family val="2"/>
      </rPr>
      <t xml:space="preserve"> as per specification to all concrete below ground level.</t>
    </r>
  </si>
  <si>
    <r>
      <t xml:space="preserve">Add Plasticiser admixture </t>
    </r>
    <r>
      <rPr>
        <b/>
        <sz val="9"/>
        <color theme="1"/>
        <rFont val="Arial"/>
        <family val="2"/>
      </rPr>
      <t>Conmix</t>
    </r>
    <r>
      <rPr>
        <sz val="9"/>
        <color theme="1"/>
        <rFont val="Arial"/>
        <family val="2"/>
      </rPr>
      <t xml:space="preserve"> </t>
    </r>
    <r>
      <rPr>
        <b/>
        <sz val="9"/>
        <color theme="1"/>
        <rFont val="Arial"/>
        <family val="2"/>
      </rPr>
      <t>Mega Flow P</t>
    </r>
    <r>
      <rPr>
        <sz val="9"/>
        <color theme="1"/>
        <rFont val="Arial"/>
        <family val="2"/>
      </rPr>
      <t xml:space="preserve"> as per specification to all concrete Substreucture and Super structure.</t>
    </r>
  </si>
  <si>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Arial"/>
        <family val="2"/>
      </rPr>
      <t>Quantity is measured including concrete surfaces - Parapetwalls, Liftwalls, columns &amp; beams.</t>
    </r>
  </si>
  <si>
    <r>
      <t xml:space="preserve">Charges for Plastering admixture </t>
    </r>
    <r>
      <rPr>
        <b/>
        <sz val="9"/>
        <color theme="1"/>
        <rFont val="Arial"/>
        <family val="2"/>
      </rPr>
      <t>Conmix Megaflow MP</t>
    </r>
    <r>
      <rPr>
        <sz val="9"/>
        <color theme="1"/>
        <rFont val="Arial"/>
        <family val="2"/>
      </rPr>
      <t xml:space="preserve"> to be mixed with the plastering mortar to all External and Interior plastering works.</t>
    </r>
  </si>
  <si>
    <r>
      <t xml:space="preserve">Charges for supplying special tiles adhesive  </t>
    </r>
    <r>
      <rPr>
        <b/>
        <sz val="9"/>
        <rFont val="Arial"/>
        <family val="2"/>
      </rPr>
      <t>Conmix C500</t>
    </r>
    <r>
      <rPr>
        <sz val="9"/>
        <rFont val="Arial"/>
        <family val="2"/>
      </rPr>
      <t xml:space="preserve"> for fixing Ceramic tiles.</t>
    </r>
  </si>
  <si>
    <r>
      <t xml:space="preserve">(c)Rate shall include for </t>
    </r>
    <r>
      <rPr>
        <b/>
        <sz val="9"/>
        <rFont val="Arial"/>
        <family val="2"/>
      </rPr>
      <t>Nippon brand weather proof  pain</t>
    </r>
    <r>
      <rPr>
        <sz val="9"/>
        <rFont val="Arial"/>
        <family val="2"/>
      </rPr>
      <t xml:space="preserve">t finish for </t>
    </r>
    <r>
      <rPr>
        <b/>
        <sz val="9"/>
        <rFont val="Arial"/>
        <family val="2"/>
      </rPr>
      <t>exterior surfaces of the wall</t>
    </r>
    <r>
      <rPr>
        <sz val="9"/>
        <rFont val="Arial"/>
        <family val="2"/>
      </rPr>
      <t xml:space="preserve"> complete including application of  two coats of oil based wall sealer and two coats of weather bond paint </t>
    </r>
  </si>
  <si>
    <r>
      <t xml:space="preserve">(d)Rate shall include for </t>
    </r>
    <r>
      <rPr>
        <b/>
        <sz val="9"/>
        <rFont val="Arial"/>
        <family val="2"/>
      </rPr>
      <t>Conmix Conputty</t>
    </r>
    <r>
      <rPr>
        <sz val="9"/>
        <rFont val="Arial"/>
        <family val="2"/>
      </rPr>
      <t xml:space="preserve"> and </t>
    </r>
    <r>
      <rPr>
        <b/>
        <sz val="9"/>
        <rFont val="Arial"/>
        <family val="2"/>
      </rPr>
      <t>Nippon brand Emulsion paint</t>
    </r>
    <r>
      <rPr>
        <sz val="9"/>
        <rFont val="Arial"/>
        <family val="2"/>
      </rPr>
      <t xml:space="preserve"> finish for </t>
    </r>
    <r>
      <rPr>
        <b/>
        <sz val="9"/>
        <rFont val="Arial"/>
        <family val="2"/>
      </rPr>
      <t>interior surfaces of the wall and ceilings</t>
    </r>
    <r>
      <rPr>
        <sz val="9"/>
        <rFont val="Arial"/>
        <family val="2"/>
      </rPr>
      <t xml:space="preserve"> complete including application of  two coats of wall sealer, two coats of  putty finish and two coats of  emulsion paint finish on top for Interior painting.</t>
    </r>
  </si>
  <si>
    <r>
      <t xml:space="preserve">Painting, </t>
    </r>
    <r>
      <rPr>
        <b/>
        <sz val="9"/>
        <rFont val="Arial"/>
        <family val="2"/>
      </rPr>
      <t xml:space="preserve">Nippon brand weather bond paint, </t>
    </r>
    <r>
      <rPr>
        <sz val="9"/>
        <rFont val="Arial"/>
        <family val="2"/>
      </rPr>
      <t>exterior surfaces of External Wall, Columns &amp; beams.</t>
    </r>
  </si>
  <si>
    <r>
      <t xml:space="preserve">Painting, </t>
    </r>
    <r>
      <rPr>
        <b/>
        <sz val="9"/>
        <rFont val="Arial"/>
        <family val="2"/>
      </rPr>
      <t>Nippon brand Emulsion paint,</t>
    </r>
    <r>
      <rPr>
        <sz val="9"/>
        <rFont val="Arial"/>
        <family val="2"/>
      </rPr>
      <t xml:space="preserve">  on interior surfaces (Wall, Columns &amp; beams) </t>
    </r>
  </si>
  <si>
    <r>
      <rPr>
        <b/>
        <u/>
        <sz val="9"/>
        <rFont val="Arial"/>
        <family val="2"/>
      </rPr>
      <t>SEWERAGE &amp; DRAINAGE</t>
    </r>
    <r>
      <rPr>
        <sz val="9"/>
        <rFont val="Arial"/>
        <family val="2"/>
      </rPr>
      <t>: Charges for piping for all discharge pipes, sewerage and drainage pipes including connection Main junctions from the Fixtures.</t>
    </r>
  </si>
  <si>
    <r>
      <rPr>
        <b/>
        <u/>
        <sz val="9"/>
        <rFont val="Arial"/>
        <family val="2"/>
      </rPr>
      <t xml:space="preserve">INSPECTION CHAMBERS: </t>
    </r>
    <r>
      <rPr>
        <sz val="9"/>
        <rFont val="Arial"/>
        <family val="2"/>
      </rPr>
      <t>Charges for construction and Pipe connection of Inspection chambers as per drawing</t>
    </r>
  </si>
  <si>
    <r>
      <rPr>
        <b/>
        <u/>
        <sz val="9"/>
        <rFont val="Arial"/>
        <family val="2"/>
      </rPr>
      <t xml:space="preserve">SOAK PIT : </t>
    </r>
    <r>
      <rPr>
        <sz val="9"/>
        <rFont val="Arial"/>
        <family val="2"/>
      </rPr>
      <t>Charges for Construction and  Installation of 1800mm dia. R.c.c. Soak Pit as per drawing details. Rate shall include for; Excavation, form work, reinforcement, Lifting hooks, gravel filling etc complete.</t>
    </r>
  </si>
  <si>
    <r>
      <t>2.5mm</t>
    </r>
    <r>
      <rPr>
        <vertAlign val="superscript"/>
        <sz val="9"/>
        <rFont val="Arial"/>
        <family val="2"/>
      </rPr>
      <t>2</t>
    </r>
    <r>
      <rPr>
        <sz val="9"/>
        <rFont val="Arial"/>
        <family val="2"/>
      </rPr>
      <t xml:space="preserve">  Wiring to Light Points</t>
    </r>
  </si>
  <si>
    <r>
      <t>2.5mm</t>
    </r>
    <r>
      <rPr>
        <vertAlign val="superscript"/>
        <sz val="9"/>
        <rFont val="Arial"/>
        <family val="2"/>
      </rPr>
      <t xml:space="preserve">2  </t>
    </r>
    <r>
      <rPr>
        <sz val="9"/>
        <rFont val="Arial"/>
        <family val="2"/>
      </rPr>
      <t>Wiring to Power  Points</t>
    </r>
  </si>
  <si>
    <r>
      <t>16mm</t>
    </r>
    <r>
      <rPr>
        <vertAlign val="superscript"/>
        <sz val="9"/>
        <rFont val="Arial"/>
        <family val="2"/>
      </rPr>
      <t>2</t>
    </r>
    <r>
      <rPr>
        <sz val="9"/>
        <rFont val="Arial"/>
        <family val="2"/>
      </rPr>
      <t xml:space="preserve">  Cabling to DBs</t>
    </r>
  </si>
  <si>
    <t>a ) Rates shall include for cleaning out cavities, forming rebated reveals and pointing and cleaning down to  reveals where necessary; fractional size blocks, all necessary machine cutting, cutting or forming chases or edges of  floor slabs.</t>
  </si>
  <si>
    <t>b ) Cutting or leaving holes and openings as recesses for and building in pipes, conduits , sleeves and similar as required for all trades; leaving surfaces rough or raking out joints for  plastering and flashings, bedding frames or plates, building in joints.</t>
  </si>
  <si>
    <t>Toilet -  W/C</t>
  </si>
  <si>
    <t>Supply and Installation of  STELCO approved (ABB or LEGRAND brand) Distribution board (Power &amp; Lights Distribution board Separately)</t>
  </si>
  <si>
    <t>Supply and Installation of  STELCO approved (ABB or LEGRAND brand) Distribution board (Power &amp; Light Distribution board Separately)</t>
  </si>
  <si>
    <t>1.6</t>
  </si>
  <si>
    <t>SAFETY ON SITE</t>
  </si>
  <si>
    <t>Safety on site:- Providing and maintainingadequate safety measure on site for all workers and all authorized visitors on site and protecting adjoining properties and people against falling objects or other with regard to the construction 
works</t>
  </si>
  <si>
    <t>LOGISTICS</t>
  </si>
  <si>
    <t>Charges for supply of materials to the site including transportation, Loading and unloading of materials,  for the project construction.</t>
  </si>
  <si>
    <t>13.3.1</t>
  </si>
  <si>
    <t>MASONRY - BLOCK WORK</t>
  </si>
  <si>
    <t xml:space="preserve">a ) </t>
  </si>
  <si>
    <t>300 x 150 x 150mm Solid Block work</t>
  </si>
  <si>
    <t>DOORS &amp; WINDOWS</t>
  </si>
  <si>
    <t>Below ground floor - Bitumen paint</t>
  </si>
  <si>
    <t>CB1, 250 x 500mm</t>
  </si>
  <si>
    <t>150mm thick Block wall with 300 x 150 x 150mm thick Solid blocks.</t>
  </si>
  <si>
    <t>Corridor</t>
  </si>
  <si>
    <t>Balcony</t>
  </si>
  <si>
    <t>Roof Terrace / Gutter</t>
  </si>
  <si>
    <t>Toilet -  W/C &amp; wash</t>
  </si>
  <si>
    <t>Vanity Counter</t>
  </si>
  <si>
    <t>600 x 600mm Non Slip Ceramic tiles</t>
  </si>
  <si>
    <t>Toilet  @ 2.4M height</t>
  </si>
  <si>
    <t>600 x 600mm Non slip Ceramic tiles</t>
  </si>
  <si>
    <t>Terrace /  Gutter slab</t>
  </si>
  <si>
    <t xml:space="preserve">WALL TILING </t>
  </si>
  <si>
    <t>300mm high Wall tiling on inside surface of Gutter wall &amp; Parapet wall</t>
  </si>
  <si>
    <t>1)</t>
  </si>
  <si>
    <t>Ground floor - Toilet</t>
  </si>
  <si>
    <r>
      <t xml:space="preserve">Painting, </t>
    </r>
    <r>
      <rPr>
        <b/>
        <sz val="9"/>
        <rFont val="Arial"/>
        <family val="2"/>
      </rPr>
      <t>Nippon brand Emulsion paint</t>
    </r>
    <r>
      <rPr>
        <sz val="9"/>
        <rFont val="Arial"/>
        <family val="2"/>
      </rPr>
      <t>,  Soffit of Slab / Ceiling.</t>
    </r>
  </si>
  <si>
    <t>Roof Truss - Supply, Fabrication and Fixing Roof Trusses complete with  Base plates, Bolts, nuts, Washers etc including  Paint Finishes. Refer drawing detail    S 18</t>
  </si>
  <si>
    <t>Mirror set (1.2mtr L x 600mm H)</t>
  </si>
  <si>
    <t xml:space="preserve">Supply and Installation of STELCO approved Main Panel board with 5nos KWH meters. </t>
  </si>
  <si>
    <t xml:space="preserve">1 x 13A Power Socket - P01 </t>
  </si>
  <si>
    <t>2 x 13A Power Socket - P03</t>
  </si>
  <si>
    <t>Sound system - Speaker - T03</t>
  </si>
  <si>
    <t>Data Socket outlet - T02</t>
  </si>
  <si>
    <t>STAGE</t>
  </si>
  <si>
    <t>13.1.1</t>
  </si>
  <si>
    <t xml:space="preserve">Below Stage </t>
  </si>
  <si>
    <t>Both sides of the wall below stage</t>
  </si>
  <si>
    <t>Timber Joists -  75 x 150mm @ 400mm c/c</t>
  </si>
  <si>
    <t>FLOOR FINISHES</t>
  </si>
  <si>
    <t>25mm thick Plywood Decking</t>
  </si>
  <si>
    <t xml:space="preserve">Supply, Fabrication and Fixing RAILING G.I.PIPE complete including paint finishes - Fixed at Middle of the Staircase as per details </t>
  </si>
  <si>
    <t xml:space="preserve">Supply, Fabrication and Fixing RAILING G.I.PIPE complete including paint finishes Fixed at both Sides of the Staircase as per details </t>
  </si>
  <si>
    <t>G.I. PIPE Railing  - BALCONY</t>
  </si>
  <si>
    <t xml:space="preserve">Supply, Fabrication and Fixing RAILING G.I.PIPE complete including paint finishes </t>
  </si>
  <si>
    <t>5.6</t>
  </si>
  <si>
    <t>PROJECT: NILANDHOO SCHOOL</t>
  </si>
  <si>
    <t>PROJECT : NILANDHOO SCHOOL</t>
  </si>
  <si>
    <t>Highly compacted hard core backfilling at excavated area for foundations up to Ground level.</t>
  </si>
  <si>
    <t>200mm thick highly compacted hard core from Ground floor to below ground floor slab</t>
  </si>
  <si>
    <t>R.c.c. Staircase (Main Staircase)</t>
  </si>
  <si>
    <t>R.c.c. Staircase up to First floor level</t>
  </si>
  <si>
    <t>C1 , 450 x 250mm x 40nos:</t>
  </si>
  <si>
    <t>C3, 250 x 250mm x 9nos</t>
  </si>
  <si>
    <t>C1 ,  450 x 250mm x 40nos:(3500mm H)</t>
  </si>
  <si>
    <t>C2 , 500 x 250mm x 14nos:(3500mm H)</t>
  </si>
  <si>
    <t>C3 ,  250 x 250mm x 9nos: (3500mm H)</t>
  </si>
  <si>
    <t>C2, 500 x 250mm x 14nos</t>
  </si>
  <si>
    <t>B1 , 250 x 650mm</t>
  </si>
  <si>
    <t>B3 ,250 x 650mm</t>
  </si>
  <si>
    <t>B2 , 200 x 450mm</t>
  </si>
  <si>
    <t>CB1 ,250 x 650mm</t>
  </si>
  <si>
    <t>C1 ,  450 x 250mm x 40nos: (3550mm H)</t>
  </si>
  <si>
    <t>C2 , 500 x 250mm x 14nos: (3550mm H)</t>
  </si>
  <si>
    <t>C1 ,  450 x 250mm x 40nos:(3550mm H)</t>
  </si>
  <si>
    <t>RB5, 200 x 500mm</t>
  </si>
  <si>
    <t>RB4, 200 x 450mm</t>
  </si>
  <si>
    <t>RB3, 200 x 500mm</t>
  </si>
  <si>
    <t>RB1, 250 x 750mm</t>
  </si>
  <si>
    <t>ROOF SLAB</t>
  </si>
  <si>
    <t>C2 , 500 x 250mm x 14nos:(3550mm H)</t>
  </si>
  <si>
    <t>C3 ,  250 x 250mm x 9nos: (3550mm H)</t>
  </si>
  <si>
    <t>C2 , 500 x 250mm x 14nos: (3500mm H)</t>
  </si>
  <si>
    <t>C3 ,  250 x 250mm x 9nos:  (3550mm H)</t>
  </si>
  <si>
    <t>B2, 200 x 450mm</t>
  </si>
  <si>
    <t>B3, 250 x 650mm</t>
  </si>
  <si>
    <t>RB1 , 250 x 750mm</t>
  </si>
  <si>
    <t>RB3 , 200 x 500mm</t>
  </si>
  <si>
    <t>RB5 , 200 x 500mm</t>
  </si>
  <si>
    <t>RB4 , 200 x 450mm</t>
  </si>
  <si>
    <t>200mm thick x 600mm high R.c.c. Parapet wall around roof top slab.</t>
  </si>
  <si>
    <t>D2 - Solid Timber framed door with Soild Timber door panel, 950 x 2000mm.</t>
  </si>
  <si>
    <t>W1 - 80micron White Powder Coated Aluminium framed Window with Sliding glass panels and Fixed Louvered &amp; glass panels at top , 2440 x  1665mm</t>
  </si>
  <si>
    <t>W2 - 80micron White Powder Coated Aluminium framed Window with Sliding glass panels and Fixed glass panels at top , 1550 x  1000mm</t>
  </si>
  <si>
    <t>W3 - 80micron White Powder Coated Aluminium framed Window with Sliding glass panels and Fixed glass panels at top , 1850 x  1665mm</t>
  </si>
  <si>
    <t>W4 - 80micron White Powder Coated Aluminium framed Window with fixed aluminium panels , 1850 x  670mm</t>
  </si>
  <si>
    <t>W5 - 80micron White Powder Coated Aluminium framed Window with fixed aluminium panels , 750 x  700mm</t>
  </si>
  <si>
    <t>D1 -80 micron White Powder coated Aluminium framed door with 6mm thick Laminated Blue glass panels, 1850 x 2620mm.</t>
  </si>
  <si>
    <t>D4 - 80micron White powder coated aluminium framed  door with Aluminium door panel including aluminium louvers, 950 x 2000mm.</t>
  </si>
  <si>
    <t>D3 - 80micron White powder coated aluminium framed  door with Aluminium door panel, 950 x 2000mm.</t>
  </si>
  <si>
    <t>D5 - 80micron White powder coated aluminium framed  door with Aluminium door panel including aluminium louvers, 700 x 2000mm.</t>
  </si>
  <si>
    <t>100mm thick x 1050mm high R.c.c. Parapet wall at Catwalk</t>
  </si>
  <si>
    <t>100mm thick x 1050mm high r.c.c. parapet wall at Catwalk.</t>
  </si>
  <si>
    <t>100mm thick x 1050mm high R.c.c. Parapet at Catwalk</t>
  </si>
  <si>
    <t>Staircase (Main)</t>
  </si>
  <si>
    <t>Staircase (Grid AB 4)</t>
  </si>
  <si>
    <t>Laboratories</t>
  </si>
  <si>
    <t>Stores</t>
  </si>
  <si>
    <t xml:space="preserve">Preparatory </t>
  </si>
  <si>
    <t>Toilets</t>
  </si>
  <si>
    <t>Entrance Steps</t>
  </si>
  <si>
    <t>Mop</t>
  </si>
  <si>
    <t>Skirting - 600 x 100mm Ceramic Tiles</t>
  </si>
  <si>
    <t>Multipurpose hall</t>
  </si>
  <si>
    <t>450 x 450mm Polished Ceramic tiles</t>
  </si>
  <si>
    <r>
      <t xml:space="preserve">(c) Tiles for all general areas shall be </t>
    </r>
    <r>
      <rPr>
        <b/>
        <sz val="9"/>
        <rFont val="Arial"/>
        <family val="2"/>
      </rPr>
      <t>450 x 150mm Polished Ceramic tiles &amp; Corridor and balconies 600 x 600mm non slip ceramic tiles.</t>
    </r>
  </si>
  <si>
    <t>Walkway</t>
  </si>
  <si>
    <t>Catwalkway</t>
  </si>
  <si>
    <t>WATER PROOFING</t>
  </si>
  <si>
    <t>Charges for Apply 2 coats of water proofing compound Conmix WS2 as per specifications</t>
  </si>
  <si>
    <t>Ground floor - Toilets</t>
  </si>
  <si>
    <t>First floor - Toilets</t>
  </si>
  <si>
    <t>Roof - Terrace / R.c.c. Gutter</t>
  </si>
  <si>
    <t>Second floor</t>
  </si>
  <si>
    <t>G.I. PIPE Railing  - Staircase 1 &amp; 2</t>
  </si>
  <si>
    <t>TR1 - 12.6mtr length</t>
  </si>
  <si>
    <t>TR2 -  8.9mtr length</t>
  </si>
  <si>
    <t>TR3 - 4.9mtr length</t>
  </si>
  <si>
    <t>TR4 - 5.1mtr length</t>
  </si>
  <si>
    <t>TR5 - 4.1mtr length</t>
  </si>
  <si>
    <t>TR6 - 6.95mtr length</t>
  </si>
  <si>
    <t>BB1 - 4.3mtr length</t>
  </si>
  <si>
    <t>BB2 - 2.9mtr length</t>
  </si>
  <si>
    <t>Supply and Fixing C - Purlins 100 10 (GI) @ 900mm spacing</t>
  </si>
  <si>
    <r>
      <t>Floor Paint - Apply 2 coats of Epoxy floor paint finishes including one coat primer in</t>
    </r>
    <r>
      <rPr>
        <b/>
        <sz val="9"/>
        <rFont val="Arial"/>
        <family val="2"/>
      </rPr>
      <t xml:space="preserve"> Multi purpose hall floor.</t>
    </r>
  </si>
  <si>
    <r>
      <rPr>
        <b/>
        <sz val="9"/>
        <rFont val="Arial"/>
        <family val="2"/>
      </rPr>
      <t>Floor Paint</t>
    </r>
    <r>
      <rPr>
        <sz val="9"/>
        <rFont val="Arial"/>
        <family val="2"/>
      </rPr>
      <t xml:space="preserve"> - Apply 2 coats of Epoxy floor paint finishes including one coat primer on</t>
    </r>
    <r>
      <rPr>
        <b/>
        <sz val="9"/>
        <rFont val="Arial"/>
        <family val="2"/>
      </rPr>
      <t xml:space="preserve"> Catwalkway floor.</t>
    </r>
  </si>
  <si>
    <t>6MM THICK CEMENT BOARD CEILING ON 50 X 35MM THICK TIMBER FRAME</t>
  </si>
  <si>
    <t>Roof Level - Eave Ceiling</t>
  </si>
  <si>
    <r>
      <rPr>
        <b/>
        <u/>
        <sz val="9"/>
        <rFont val="Arial"/>
        <family val="2"/>
      </rPr>
      <t>CONNECTION RAIN WATER PIPE NETWORK</t>
    </r>
    <r>
      <rPr>
        <sz val="9"/>
        <rFont val="Arial"/>
        <family val="2"/>
      </rPr>
      <t>: Charges for Laying pipes at ground floor and connecting all the Rainwater pipe from the roof to the collecting tank.</t>
    </r>
  </si>
  <si>
    <r>
      <rPr>
        <b/>
        <u/>
        <sz val="9"/>
        <rFont val="Arial"/>
        <family val="2"/>
      </rPr>
      <t>RAINWATER DOWN PIPES</t>
    </r>
    <r>
      <rPr>
        <sz val="9"/>
        <rFont val="Arial"/>
        <family val="2"/>
      </rPr>
      <t>: Charges for piping for all Rain water discharge pipes and Drainage pipes including fittings and fixtures from the Roof Gutter to Ground floor.</t>
    </r>
  </si>
  <si>
    <t>Wall mount Light - L 09</t>
  </si>
  <si>
    <t>Weather proof wall Light - L17</t>
  </si>
  <si>
    <t>Sound system - Speaker - T11</t>
  </si>
  <si>
    <t>Fan Dimmer Switch - P23 (including hall)</t>
  </si>
  <si>
    <t>2 Gang 1 way Switch - P20 (incl. Hall lights)</t>
  </si>
  <si>
    <t>3 Gang 1 way Switch - P21 (incl. Hall lights)</t>
  </si>
  <si>
    <t>10 )</t>
  </si>
  <si>
    <t xml:space="preserve">Laboratory sink (300mm deep Ceramic) </t>
  </si>
  <si>
    <t>11 )</t>
  </si>
  <si>
    <t>Wasting trap &amp; plug</t>
  </si>
  <si>
    <t>12 )</t>
  </si>
  <si>
    <t>Laboratory Sink taps</t>
  </si>
  <si>
    <t>7.3.2</t>
  </si>
  <si>
    <t>7.3.1</t>
  </si>
  <si>
    <t>Charges for supply, Fabrication and Installation of Laboratory sink cupboards as per client's requirement and specifications.</t>
  </si>
  <si>
    <t>Ground floor - Laboratory Sink Cup boards</t>
  </si>
  <si>
    <t xml:space="preserve">Roof Covering at Roof level - Supply and Fixing BHP Lysaght Roofing sheet </t>
  </si>
  <si>
    <t>7.4</t>
  </si>
  <si>
    <t>ROOF FRAMING</t>
  </si>
  <si>
    <t>50 x 150mm Timber Rafters</t>
  </si>
  <si>
    <t>50 x 50mm Timber battens</t>
  </si>
  <si>
    <t>25 x 200mm Timber Fascia board</t>
  </si>
  <si>
    <t>75 x 100mm Timber wall Plate</t>
  </si>
  <si>
    <t>100 x 200mm Timber to be fixed on the wall</t>
  </si>
  <si>
    <t>First floor - Toilet &amp; Balcony</t>
  </si>
  <si>
    <t>Roof covering with Lysaght roofing sheets</t>
  </si>
  <si>
    <t>First floor - Eave Ceiling</t>
  </si>
  <si>
    <t>Charges for construction of 100mm thick R.c.c.Parapet wall at First floor as per details. Rate shall include for Shuttering and Reinforcement work complete. (refer drawing no: A 12)</t>
  </si>
  <si>
    <t>R.c.c. Staircase (Main)</t>
  </si>
  <si>
    <t>R.c.c. Staircase (Grid AB4)</t>
  </si>
  <si>
    <t>Counter Slab &amp; wall for Laboratory sink</t>
  </si>
  <si>
    <t>COUNTER SLAB</t>
  </si>
  <si>
    <t>75mm thick R.c.c.slab for  Laboratory sink counter, complete including shuttering reinforcement and concrete works.</t>
  </si>
  <si>
    <t>TYPE 01 - Coated Aluminium frame with Louvered aluminium panels, 650mm high (Length to be verified from the floor plan / Elevations)</t>
  </si>
  <si>
    <t>BILL No: 12 - STAGE</t>
  </si>
  <si>
    <t>BILL No: 13 - ADDITIONS</t>
  </si>
  <si>
    <t>BILL No: 14 - OMISSIONS</t>
  </si>
  <si>
    <t>Timber Staircase</t>
  </si>
  <si>
    <t>Synthetic Novilon vinyl  floor finish to the stage</t>
  </si>
  <si>
    <t>ST-D1, 1200 x 1280mm</t>
  </si>
  <si>
    <t>C1 ,  450 x 250mm x 40nos</t>
  </si>
  <si>
    <t>C2 , 500 x 250mm x 14nos</t>
  </si>
  <si>
    <t>C3 ,  250 x 250mm x 9nos</t>
  </si>
  <si>
    <t>1.1</t>
  </si>
  <si>
    <t>1.2</t>
  </si>
  <si>
    <t>1.3</t>
  </si>
  <si>
    <t>1.4</t>
  </si>
  <si>
    <t>HULHUMALE' 11263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</si>
</sst>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_-* #,##0.00_-;\-* #,##0.00_-;_-* &quot;-&quot;??_-;_-@_-"/>
    <numFmt numFmtId="165" formatCode="_(* #,##0.0_);_(* \(#,##0.0\);_(* &quot;-&quot;??_);_(@_)"/>
    <numFmt numFmtId="166" formatCode="_(* #,##0.000_);_(* \(#,##0.000\);_(* &quot;-&quot;???_);_(@_)"/>
    <numFmt numFmtId="167" formatCode="_(* #,##0.00_);_(* \(#,##0.00\);_(* \-??_);_(@_)"/>
    <numFmt numFmtId="168" formatCode="0.0"/>
    <numFmt numFmtId="169" formatCode="_(\$* #,##0.00_);_(\$* \(#,##0.00\);_(\$* \-??_);_(@_)"/>
    <numFmt numFmtId="170" formatCode="\(0\)"/>
  </numFmts>
  <fonts count="29"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12"/>
      <name val="Times New Roman"/>
      <family val="1"/>
    </font>
    <font>
      <b/>
      <sz val="9"/>
      <color theme="1"/>
      <name val="Arial"/>
      <family val="2"/>
    </font>
    <font>
      <sz val="9"/>
      <color theme="1"/>
      <name val="Arial"/>
      <family val="2"/>
    </font>
    <font>
      <sz val="9"/>
      <name val="Arial"/>
      <family val="2"/>
    </font>
    <font>
      <b/>
      <u/>
      <sz val="9"/>
      <name val="Arial"/>
      <family val="2"/>
    </font>
    <font>
      <b/>
      <sz val="9"/>
      <name val="Arial"/>
      <family val="2"/>
    </font>
    <font>
      <b/>
      <sz val="9"/>
      <color rgb="FFFF0000"/>
      <name val="Arial"/>
      <family val="2"/>
    </font>
    <font>
      <u/>
      <sz val="9"/>
      <name val="Arial"/>
      <family val="2"/>
    </font>
    <font>
      <b/>
      <u/>
      <sz val="9"/>
      <color theme="1"/>
      <name val="Arial"/>
      <family val="2"/>
    </font>
    <font>
      <vertAlign val="superscript"/>
      <sz val="9"/>
      <color theme="1"/>
      <name val="Arial"/>
      <family val="2"/>
    </font>
    <font>
      <vertAlign val="superscript"/>
      <sz val="9"/>
      <name val="Arial"/>
      <family val="2"/>
    </font>
    <font>
      <b/>
      <sz val="9"/>
      <color indexed="9"/>
      <name val="Arial"/>
      <family val="2"/>
    </font>
    <font>
      <sz val="10"/>
      <name val="Arial"/>
    </font>
    <font>
      <b/>
      <u/>
      <sz val="10"/>
      <name val="Arial"/>
      <family val="2"/>
    </font>
    <font>
      <b/>
      <sz val="10"/>
      <name val="Arial"/>
      <family val="2"/>
    </font>
    <font>
      <sz val="10"/>
      <color theme="1"/>
      <name val="Arial"/>
      <family val="2"/>
    </font>
    <font>
      <sz val="10"/>
      <color theme="1"/>
      <name val="Calibri"/>
      <family val="2"/>
      <scheme val="minor"/>
    </font>
    <font>
      <sz val="20"/>
      <color theme="1"/>
      <name val="Calibri"/>
      <family val="2"/>
      <scheme val="minor"/>
    </font>
    <font>
      <sz val="10"/>
      <name val="Calibri"/>
      <family val="2"/>
      <scheme val="minor"/>
    </font>
    <font>
      <b/>
      <sz val="20"/>
      <color theme="1"/>
      <name val="Calibri"/>
      <family val="2"/>
      <scheme val="minor"/>
    </font>
    <font>
      <b/>
      <sz val="11"/>
      <name val="Calibri"/>
      <family val="2"/>
      <scheme val="minor"/>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indexed="9"/>
        <bgColor indexed="26"/>
      </patternFill>
    </fill>
  </fills>
  <borders count="32">
    <border>
      <left/>
      <right/>
      <top/>
      <bottom/>
      <diagonal/>
    </border>
    <border>
      <left style="hair">
        <color auto="1"/>
      </left>
      <right style="hair">
        <color auto="1"/>
      </right>
      <top style="hair">
        <color auto="1"/>
      </top>
      <bottom style="hair">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right style="thin">
        <color indexed="64"/>
      </right>
      <top/>
      <bottom/>
      <diagonal/>
    </border>
    <border>
      <left style="thin">
        <color auto="1"/>
      </left>
      <right style="thin">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style="thin">
        <color indexed="64"/>
      </bottom>
      <diagonal/>
    </border>
    <border>
      <left style="thin">
        <color auto="1"/>
      </left>
      <right style="thin">
        <color auto="1"/>
      </right>
      <top style="medium">
        <color auto="1"/>
      </top>
      <bottom style="thin">
        <color indexed="64"/>
      </bottom>
      <diagonal/>
    </border>
    <border>
      <left style="thin">
        <color auto="1"/>
      </left>
      <right style="medium">
        <color auto="1"/>
      </right>
      <top style="medium">
        <color auto="1"/>
      </top>
      <bottom style="thin">
        <color indexed="64"/>
      </bottom>
      <diagonal/>
    </border>
  </borders>
  <cellStyleXfs count="8">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167" fontId="20" fillId="0" borderId="0" applyFill="0" applyBorder="0" applyAlignment="0" applyProtection="0"/>
    <xf numFmtId="0" fontId="20" fillId="0" borderId="0"/>
    <xf numFmtId="169" fontId="20" fillId="0" borderId="0" applyFill="0" applyBorder="0" applyAlignment="0" applyProtection="0"/>
    <xf numFmtId="0" fontId="2" fillId="0" borderId="0"/>
  </cellStyleXfs>
  <cellXfs count="398">
    <xf numFmtId="0" fontId="0" fillId="0" borderId="0" xfId="0"/>
    <xf numFmtId="49" fontId="3" fillId="2" borderId="2" xfId="0" applyNumberFormat="1" applyFont="1" applyFill="1" applyBorder="1"/>
    <xf numFmtId="0" fontId="3" fillId="2" borderId="2" xfId="0" applyFont="1" applyFill="1" applyBorder="1"/>
    <xf numFmtId="43" fontId="3" fillId="2" borderId="2" xfId="1" applyFont="1" applyFill="1" applyBorder="1"/>
    <xf numFmtId="49" fontId="6" fillId="2" borderId="3" xfId="0" applyNumberFormat="1" applyFont="1" applyFill="1" applyBorder="1"/>
    <xf numFmtId="0" fontId="6" fillId="2" borderId="4" xfId="0" applyFont="1" applyFill="1" applyBorder="1" applyAlignment="1">
      <alignment horizontal="center"/>
    </xf>
    <xf numFmtId="0" fontId="6" fillId="2" borderId="5" xfId="0" applyFont="1" applyFill="1" applyBorder="1" applyAlignment="1">
      <alignment horizontal="center"/>
    </xf>
    <xf numFmtId="49" fontId="7" fillId="2" borderId="6" xfId="0" applyNumberFormat="1" applyFont="1" applyFill="1" applyBorder="1" applyAlignment="1">
      <alignment horizontal="center"/>
    </xf>
    <xf numFmtId="0" fontId="7" fillId="2" borderId="7" xfId="0" applyFont="1" applyFill="1" applyBorder="1" applyAlignment="1">
      <alignment horizontal="left"/>
    </xf>
    <xf numFmtId="43" fontId="7" fillId="2" borderId="8" xfId="1" applyFont="1" applyFill="1" applyBorder="1" applyAlignment="1">
      <alignment horizontal="center"/>
    </xf>
    <xf numFmtId="49" fontId="7" fillId="2" borderId="9" xfId="0" applyNumberFormat="1" applyFont="1" applyFill="1" applyBorder="1" applyAlignment="1">
      <alignment horizontal="center"/>
    </xf>
    <xf numFmtId="0" fontId="7" fillId="2" borderId="10" xfId="0" applyFont="1" applyFill="1" applyBorder="1" applyAlignment="1">
      <alignment horizontal="left"/>
    </xf>
    <xf numFmtId="43" fontId="7" fillId="2" borderId="11" xfId="1" applyFont="1" applyFill="1" applyBorder="1" applyAlignment="1">
      <alignment horizontal="center"/>
    </xf>
    <xf numFmtId="49" fontId="3" fillId="2" borderId="3" xfId="0" applyNumberFormat="1" applyFont="1" applyFill="1" applyBorder="1"/>
    <xf numFmtId="0" fontId="8" fillId="2" borderId="4" xfId="0" applyFont="1" applyFill="1" applyBorder="1" applyAlignment="1">
      <alignment horizontal="center"/>
    </xf>
    <xf numFmtId="43" fontId="8" fillId="2" borderId="5" xfId="0" applyNumberFormat="1" applyFont="1" applyFill="1" applyBorder="1" applyAlignment="1">
      <alignment horizontal="center"/>
    </xf>
    <xf numFmtId="164" fontId="0" fillId="0" borderId="0" xfId="0" applyNumberFormat="1"/>
    <xf numFmtId="0" fontId="9" fillId="0" borderId="0" xfId="0" applyFont="1"/>
    <xf numFmtId="49" fontId="10" fillId="0" borderId="0" xfId="0" applyNumberFormat="1" applyFont="1"/>
    <xf numFmtId="0" fontId="10" fillId="0" borderId="0" xfId="0" applyFont="1"/>
    <xf numFmtId="0" fontId="10" fillId="0" borderId="0" xfId="0" applyFont="1" applyAlignment="1">
      <alignment horizontal="center"/>
    </xf>
    <xf numFmtId="43" fontId="10" fillId="0" borderId="0" xfId="1" applyNumberFormat="1" applyFont="1"/>
    <xf numFmtId="165" fontId="10" fillId="0" borderId="0" xfId="1" applyNumberFormat="1" applyFont="1"/>
    <xf numFmtId="43" fontId="10" fillId="0" borderId="0" xfId="1" applyFont="1"/>
    <xf numFmtId="43" fontId="10" fillId="0" borderId="25" xfId="1" applyFont="1" applyBorder="1" applyAlignment="1">
      <alignment horizontal="center" vertical="center" wrapText="1"/>
    </xf>
    <xf numFmtId="43" fontId="10" fillId="0" borderId="26" xfId="1" applyFont="1" applyBorder="1" applyAlignment="1">
      <alignment horizontal="center" vertical="center" wrapText="1"/>
    </xf>
    <xf numFmtId="0" fontId="10" fillId="0" borderId="0" xfId="0" applyFont="1" applyAlignment="1">
      <alignment horizontal="center" vertical="center"/>
    </xf>
    <xf numFmtId="49" fontId="11" fillId="2" borderId="19" xfId="2" applyNumberFormat="1" applyFont="1" applyFill="1" applyBorder="1" applyAlignment="1">
      <alignment horizontal="center" vertical="justify"/>
    </xf>
    <xf numFmtId="0" fontId="12" fillId="2" borderId="20" xfId="2" quotePrefix="1" applyNumberFormat="1" applyFont="1" applyFill="1" applyBorder="1" applyAlignment="1">
      <alignment horizontal="center"/>
    </xf>
    <xf numFmtId="43" fontId="13" fillId="2" borderId="20" xfId="2" applyFont="1" applyFill="1" applyBorder="1" applyAlignment="1">
      <alignment horizontal="center"/>
    </xf>
    <xf numFmtId="43" fontId="13" fillId="3" borderId="20" xfId="1" applyNumberFormat="1" applyFont="1" applyFill="1" applyBorder="1" applyAlignment="1">
      <alignment horizontal="center"/>
    </xf>
    <xf numFmtId="165" fontId="11" fillId="2" borderId="20" xfId="1" applyNumberFormat="1" applyFont="1" applyFill="1" applyBorder="1" applyAlignment="1">
      <alignment horizontal="center"/>
    </xf>
    <xf numFmtId="43" fontId="10" fillId="0" borderId="20" xfId="1" applyFont="1" applyBorder="1" applyAlignment="1">
      <alignment horizontal="center" vertical="center" wrapText="1"/>
    </xf>
    <xf numFmtId="43" fontId="10" fillId="0" borderId="21" xfId="1" applyFont="1" applyBorder="1" applyAlignment="1">
      <alignment horizontal="center" vertical="center" wrapText="1"/>
    </xf>
    <xf numFmtId="0" fontId="14" fillId="0" borderId="0" xfId="0" applyFont="1" applyAlignment="1">
      <alignment horizontal="center" vertical="center"/>
    </xf>
    <xf numFmtId="0" fontId="9" fillId="0" borderId="0" xfId="0" applyFont="1" applyAlignment="1">
      <alignment horizontal="center" vertical="center"/>
    </xf>
    <xf numFmtId="0" fontId="12" fillId="2" borderId="20" xfId="2" applyNumberFormat="1" applyFont="1" applyFill="1" applyBorder="1" applyAlignment="1">
      <alignment horizontal="center"/>
    </xf>
    <xf numFmtId="0" fontId="13" fillId="2" borderId="20" xfId="2" applyNumberFormat="1" applyFont="1" applyFill="1" applyBorder="1" applyAlignment="1">
      <alignment horizontal="left"/>
    </xf>
    <xf numFmtId="0" fontId="12" fillId="2" borderId="20" xfId="2" applyNumberFormat="1" applyFont="1" applyFill="1" applyBorder="1" applyAlignment="1">
      <alignment horizontal="left"/>
    </xf>
    <xf numFmtId="49" fontId="11" fillId="2" borderId="19" xfId="2" quotePrefix="1" applyNumberFormat="1" applyFont="1" applyFill="1" applyBorder="1" applyAlignment="1">
      <alignment horizontal="center" vertical="justify"/>
    </xf>
    <xf numFmtId="0" fontId="15" fillId="2" borderId="20" xfId="2" applyNumberFormat="1" applyFont="1" applyFill="1" applyBorder="1" applyAlignment="1">
      <alignment horizontal="left"/>
    </xf>
    <xf numFmtId="0" fontId="11" fillId="2" borderId="20" xfId="2" applyNumberFormat="1" applyFont="1" applyFill="1" applyBorder="1" applyAlignment="1">
      <alignment horizontal="left"/>
    </xf>
    <xf numFmtId="0" fontId="12" fillId="2" borderId="20" xfId="2" applyNumberFormat="1" applyFont="1" applyFill="1" applyBorder="1"/>
    <xf numFmtId="43" fontId="11" fillId="2" borderId="20" xfId="2" applyFont="1" applyFill="1" applyBorder="1" applyAlignment="1">
      <alignment horizontal="center"/>
    </xf>
    <xf numFmtId="43" fontId="11" fillId="3" borderId="20" xfId="1" applyNumberFormat="1" applyFont="1" applyFill="1" applyBorder="1" applyAlignment="1">
      <alignment horizontal="center"/>
    </xf>
    <xf numFmtId="0" fontId="11" fillId="2" borderId="20" xfId="2" applyNumberFormat="1" applyFont="1" applyFill="1" applyBorder="1" applyAlignment="1">
      <alignment horizontal="justify"/>
    </xf>
    <xf numFmtId="43" fontId="10" fillId="0" borderId="20" xfId="1" applyFont="1" applyBorder="1"/>
    <xf numFmtId="43" fontId="10" fillId="0" borderId="21" xfId="1" applyFont="1" applyBorder="1"/>
    <xf numFmtId="0" fontId="11" fillId="2" borderId="20" xfId="2" applyNumberFormat="1" applyFont="1" applyFill="1" applyBorder="1"/>
    <xf numFmtId="0" fontId="11" fillId="2" borderId="20" xfId="2" applyNumberFormat="1" applyFont="1" applyFill="1" applyBorder="1" applyAlignment="1">
      <alignment wrapText="1"/>
    </xf>
    <xf numFmtId="49" fontId="11" fillId="2" borderId="19" xfId="2" applyNumberFormat="1" applyFont="1" applyFill="1" applyBorder="1" applyAlignment="1">
      <alignment horizontal="center" vertical="top"/>
    </xf>
    <xf numFmtId="0" fontId="12" fillId="2" borderId="20" xfId="2" applyNumberFormat="1" applyFont="1" applyFill="1" applyBorder="1" applyAlignment="1">
      <alignment vertical="top"/>
    </xf>
    <xf numFmtId="43" fontId="11" fillId="2" borderId="20" xfId="2" applyFont="1" applyFill="1" applyBorder="1" applyAlignment="1">
      <alignment horizontal="center" vertical="top"/>
    </xf>
    <xf numFmtId="43" fontId="11" fillId="3" borderId="20" xfId="1" applyNumberFormat="1" applyFont="1" applyFill="1" applyBorder="1" applyAlignment="1">
      <alignment horizontal="center" vertical="top"/>
    </xf>
    <xf numFmtId="0" fontId="11" fillId="2" borderId="20" xfId="2" applyNumberFormat="1" applyFont="1" applyFill="1" applyBorder="1" applyAlignment="1">
      <alignment vertical="top" wrapText="1"/>
    </xf>
    <xf numFmtId="49" fontId="11" fillId="2" borderId="24" xfId="2" applyNumberFormat="1" applyFont="1" applyFill="1" applyBorder="1" applyAlignment="1">
      <alignment horizontal="center" vertical="justify"/>
    </xf>
    <xf numFmtId="0" fontId="13" fillId="2" borderId="25" xfId="2" quotePrefix="1" applyNumberFormat="1" applyFont="1" applyFill="1" applyBorder="1" applyAlignment="1">
      <alignment horizontal="left"/>
    </xf>
    <xf numFmtId="0" fontId="11" fillId="3" borderId="25" xfId="3" applyFont="1" applyFill="1" applyBorder="1" applyAlignment="1">
      <alignment horizontal="center"/>
    </xf>
    <xf numFmtId="43" fontId="11" fillId="3" borderId="25" xfId="1" applyNumberFormat="1" applyFont="1" applyFill="1" applyBorder="1" applyAlignment="1">
      <alignment horizontal="center"/>
    </xf>
    <xf numFmtId="165" fontId="11" fillId="2" borderId="25" xfId="1" applyNumberFormat="1" applyFont="1" applyFill="1" applyBorder="1" applyAlignment="1">
      <alignment horizontal="center"/>
    </xf>
    <xf numFmtId="49" fontId="11" fillId="2" borderId="27" xfId="2" applyNumberFormat="1" applyFont="1" applyFill="1" applyBorder="1" applyAlignment="1">
      <alignment horizontal="center" vertical="justify"/>
    </xf>
    <xf numFmtId="0" fontId="13" fillId="2" borderId="23" xfId="2" quotePrefix="1" applyNumberFormat="1" applyFont="1" applyFill="1" applyBorder="1" applyAlignment="1">
      <alignment horizontal="left"/>
    </xf>
    <xf numFmtId="0" fontId="11" fillId="4" borderId="23" xfId="3" applyFont="1" applyFill="1" applyBorder="1" applyAlignment="1">
      <alignment horizontal="center"/>
    </xf>
    <xf numFmtId="43" fontId="11" fillId="3" borderId="23" xfId="1" applyNumberFormat="1" applyFont="1" applyFill="1" applyBorder="1" applyAlignment="1">
      <alignment horizontal="center"/>
    </xf>
    <xf numFmtId="165" fontId="11" fillId="2" borderId="23" xfId="1" applyNumberFormat="1" applyFont="1" applyFill="1" applyBorder="1" applyAlignment="1">
      <alignment horizontal="center"/>
    </xf>
    <xf numFmtId="43" fontId="10" fillId="0" borderId="23" xfId="1" applyFont="1" applyBorder="1" applyAlignment="1">
      <alignment horizontal="center" vertical="center" wrapText="1"/>
    </xf>
    <xf numFmtId="43" fontId="9" fillId="0" borderId="28" xfId="1" applyFont="1" applyBorder="1" applyAlignment="1">
      <alignment horizontal="center" vertical="center" wrapText="1"/>
    </xf>
    <xf numFmtId="0" fontId="13" fillId="2" borderId="20" xfId="2" quotePrefix="1" applyNumberFormat="1" applyFont="1" applyFill="1" applyBorder="1" applyAlignment="1">
      <alignment horizontal="left"/>
    </xf>
    <xf numFmtId="0" fontId="11" fillId="3" borderId="20" xfId="3" applyFont="1" applyFill="1" applyBorder="1" applyAlignment="1">
      <alignment horizontal="center"/>
    </xf>
    <xf numFmtId="0" fontId="11" fillId="2" borderId="20" xfId="2" quotePrefix="1" applyNumberFormat="1" applyFont="1" applyFill="1" applyBorder="1" applyAlignment="1">
      <alignment wrapText="1"/>
    </xf>
    <xf numFmtId="0" fontId="11" fillId="2" borderId="20" xfId="2" quotePrefix="1" applyNumberFormat="1" applyFont="1" applyFill="1" applyBorder="1" applyAlignment="1"/>
    <xf numFmtId="0" fontId="11" fillId="2" borderId="21" xfId="2" quotePrefix="1" applyNumberFormat="1" applyFont="1" applyFill="1" applyBorder="1" applyAlignment="1"/>
    <xf numFmtId="49" fontId="10" fillId="0" borderId="19" xfId="0" applyNumberFormat="1" applyFont="1" applyBorder="1" applyAlignment="1">
      <alignment horizontal="center" vertical="center"/>
    </xf>
    <xf numFmtId="0" fontId="10" fillId="0" borderId="20" xfId="0" applyFont="1" applyBorder="1" applyAlignment="1">
      <alignment horizontal="center" vertical="center"/>
    </xf>
    <xf numFmtId="43" fontId="10" fillId="0" borderId="20" xfId="0" applyNumberFormat="1" applyFont="1" applyBorder="1" applyAlignment="1">
      <alignment horizontal="center" vertical="center"/>
    </xf>
    <xf numFmtId="165" fontId="10" fillId="0" borderId="20" xfId="0" applyNumberFormat="1" applyFont="1" applyBorder="1" applyAlignment="1">
      <alignment horizontal="center" vertical="center"/>
    </xf>
    <xf numFmtId="0" fontId="10" fillId="0" borderId="21" xfId="0" applyFont="1" applyBorder="1" applyAlignment="1">
      <alignment horizontal="center" vertical="center"/>
    </xf>
    <xf numFmtId="43" fontId="10" fillId="0" borderId="20" xfId="1" applyNumberFormat="1" applyFont="1" applyBorder="1"/>
    <xf numFmtId="165" fontId="10" fillId="0" borderId="20" xfId="1" applyNumberFormat="1" applyFont="1" applyBorder="1"/>
    <xf numFmtId="43" fontId="11" fillId="3" borderId="20" xfId="2" applyNumberFormat="1" applyFont="1" applyFill="1" applyBorder="1" applyAlignment="1">
      <alignment horizontal="center"/>
    </xf>
    <xf numFmtId="0" fontId="12" fillId="2" borderId="20" xfId="2" applyNumberFormat="1" applyFont="1" applyFill="1" applyBorder="1" applyAlignment="1">
      <alignment horizontal="justify" vertical="top"/>
    </xf>
    <xf numFmtId="49" fontId="11" fillId="2" borderId="19" xfId="2" applyNumberFormat="1" applyFont="1" applyFill="1" applyBorder="1" applyAlignment="1">
      <alignment horizontal="center"/>
    </xf>
    <xf numFmtId="43" fontId="10" fillId="0" borderId="20" xfId="1" applyFont="1" applyBorder="1" applyAlignment="1"/>
    <xf numFmtId="43" fontId="10" fillId="0" borderId="21" xfId="1" applyFont="1" applyBorder="1" applyAlignment="1"/>
    <xf numFmtId="0" fontId="11" fillId="2" borderId="20" xfId="2" applyNumberFormat="1" applyFont="1" applyFill="1" applyBorder="1" applyAlignment="1">
      <alignment horizontal="left" vertical="top" wrapText="1"/>
    </xf>
    <xf numFmtId="0" fontId="12" fillId="2" borderId="20" xfId="2" applyNumberFormat="1" applyFont="1" applyFill="1" applyBorder="1" applyAlignment="1">
      <alignment horizontal="left" vertical="top" wrapText="1"/>
    </xf>
    <xf numFmtId="0" fontId="11" fillId="2" borderId="20" xfId="2" quotePrefix="1" applyNumberFormat="1" applyFont="1" applyFill="1" applyBorder="1" applyAlignment="1">
      <alignment vertical="top" wrapText="1"/>
    </xf>
    <xf numFmtId="0" fontId="11" fillId="2" borderId="20" xfId="2" quotePrefix="1" applyNumberFormat="1" applyFont="1" applyFill="1" applyBorder="1" applyAlignment="1">
      <alignment vertical="top"/>
    </xf>
    <xf numFmtId="0" fontId="11" fillId="2" borderId="20" xfId="2" applyNumberFormat="1" applyFont="1" applyFill="1" applyBorder="1" applyAlignment="1">
      <alignment vertical="top"/>
    </xf>
    <xf numFmtId="0" fontId="11" fillId="2" borderId="20" xfId="2" applyNumberFormat="1" applyFont="1" applyFill="1" applyBorder="1" applyAlignment="1">
      <alignment horizontal="justify" vertical="top"/>
    </xf>
    <xf numFmtId="0" fontId="11" fillId="2" borderId="20" xfId="2" quotePrefix="1" applyNumberFormat="1" applyFont="1" applyFill="1" applyBorder="1" applyAlignment="1">
      <alignment horizontal="justify" vertical="top"/>
    </xf>
    <xf numFmtId="43" fontId="10" fillId="0" borderId="0" xfId="0" applyNumberFormat="1" applyFont="1" applyAlignment="1">
      <alignment horizontal="center" vertical="center"/>
    </xf>
    <xf numFmtId="43" fontId="11" fillId="2" borderId="25" xfId="2" applyFont="1" applyFill="1" applyBorder="1" applyAlignment="1">
      <alignment horizontal="center"/>
    </xf>
    <xf numFmtId="43" fontId="11" fillId="2" borderId="23" xfId="2" applyFont="1" applyFill="1" applyBorder="1" applyAlignment="1">
      <alignment horizontal="center"/>
    </xf>
    <xf numFmtId="43" fontId="9" fillId="0" borderId="21" xfId="1" applyFont="1" applyBorder="1" applyAlignment="1">
      <alignment horizontal="center" vertical="center" wrapText="1"/>
    </xf>
    <xf numFmtId="0" fontId="12" fillId="2" borderId="20" xfId="2" applyNumberFormat="1" applyFont="1" applyFill="1" applyBorder="1" applyAlignment="1">
      <alignment horizontal="center" vertical="top"/>
    </xf>
    <xf numFmtId="0" fontId="11" fillId="2" borderId="21" xfId="2" quotePrefix="1" applyNumberFormat="1" applyFont="1" applyFill="1" applyBorder="1" applyAlignment="1">
      <alignment vertical="top"/>
    </xf>
    <xf numFmtId="49" fontId="13" fillId="5" borderId="19" xfId="2" applyNumberFormat="1" applyFont="1" applyFill="1" applyBorder="1" applyAlignment="1">
      <alignment horizontal="center" vertical="justify"/>
    </xf>
    <xf numFmtId="0" fontId="12" fillId="5" borderId="20" xfId="2" applyNumberFormat="1" applyFont="1" applyFill="1" applyBorder="1" applyAlignment="1">
      <alignment horizontal="justify" vertical="top"/>
    </xf>
    <xf numFmtId="43" fontId="11" fillId="5" borderId="20" xfId="1" applyNumberFormat="1" applyFont="1" applyFill="1" applyBorder="1" applyAlignment="1">
      <alignment horizontal="center"/>
    </xf>
    <xf numFmtId="165" fontId="11" fillId="5" borderId="20" xfId="1" applyNumberFormat="1" applyFont="1" applyFill="1" applyBorder="1" applyAlignment="1">
      <alignment horizontal="center"/>
    </xf>
    <xf numFmtId="43" fontId="11" fillId="5" borderId="20" xfId="2" applyFont="1" applyFill="1" applyBorder="1" applyAlignment="1">
      <alignment horizontal="center"/>
    </xf>
    <xf numFmtId="49" fontId="9" fillId="6" borderId="19" xfId="0" applyNumberFormat="1" applyFont="1" applyFill="1" applyBorder="1"/>
    <xf numFmtId="0" fontId="16" fillId="6" borderId="20" xfId="0" applyFont="1" applyFill="1" applyBorder="1" applyAlignment="1">
      <alignment wrapText="1"/>
    </xf>
    <xf numFmtId="0" fontId="9" fillId="6" borderId="20" xfId="0" applyFont="1" applyFill="1" applyBorder="1" applyAlignment="1">
      <alignment horizontal="center"/>
    </xf>
    <xf numFmtId="43" fontId="9" fillId="6" borderId="20" xfId="1" applyNumberFormat="1" applyFont="1" applyFill="1" applyBorder="1"/>
    <xf numFmtId="165" fontId="9" fillId="6" borderId="20" xfId="1" applyNumberFormat="1" applyFont="1" applyFill="1" applyBorder="1"/>
    <xf numFmtId="43" fontId="9" fillId="6" borderId="20" xfId="1" applyFont="1" applyFill="1" applyBorder="1"/>
    <xf numFmtId="43" fontId="9" fillId="6" borderId="21" xfId="1" applyFont="1" applyFill="1" applyBorder="1"/>
    <xf numFmtId="43" fontId="10" fillId="0" borderId="0" xfId="0" applyNumberFormat="1" applyFont="1"/>
    <xf numFmtId="164" fontId="10" fillId="0" borderId="0" xfId="0" applyNumberFormat="1" applyFont="1" applyAlignment="1">
      <alignment horizontal="center" vertical="center"/>
    </xf>
    <xf numFmtId="49" fontId="10" fillId="0" borderId="19" xfId="0" applyNumberFormat="1" applyFont="1" applyBorder="1"/>
    <xf numFmtId="0" fontId="10" fillId="0" borderId="20" xfId="0" applyFont="1" applyBorder="1" applyAlignment="1">
      <alignment wrapText="1"/>
    </xf>
    <xf numFmtId="0" fontId="10" fillId="0" borderId="20" xfId="0" applyFont="1" applyBorder="1" applyAlignment="1">
      <alignment horizontal="center"/>
    </xf>
    <xf numFmtId="49" fontId="9" fillId="0" borderId="19" xfId="0" applyNumberFormat="1" applyFont="1" applyBorder="1"/>
    <xf numFmtId="0" fontId="16" fillId="0" borderId="20" xfId="0" applyFont="1" applyBorder="1" applyAlignment="1">
      <alignment wrapText="1"/>
    </xf>
    <xf numFmtId="0" fontId="9" fillId="0" borderId="20" xfId="0" applyFont="1" applyBorder="1" applyAlignment="1">
      <alignment horizontal="center"/>
    </xf>
    <xf numFmtId="43" fontId="9" fillId="0" borderId="20" xfId="1" applyNumberFormat="1" applyFont="1" applyBorder="1"/>
    <xf numFmtId="165" fontId="9" fillId="0" borderId="20" xfId="1" applyNumberFormat="1" applyFont="1" applyBorder="1"/>
    <xf numFmtId="43" fontId="9" fillId="0" borderId="20" xfId="1" applyFont="1" applyBorder="1"/>
    <xf numFmtId="43" fontId="9" fillId="0" borderId="21" xfId="1" applyFont="1" applyBorder="1"/>
    <xf numFmtId="49" fontId="10" fillId="0" borderId="27" xfId="0" applyNumberFormat="1" applyFont="1" applyBorder="1"/>
    <xf numFmtId="0" fontId="10" fillId="0" borderId="23" xfId="0" applyFont="1" applyBorder="1" applyAlignment="1">
      <alignment wrapText="1"/>
    </xf>
    <xf numFmtId="0" fontId="10" fillId="0" borderId="23" xfId="0" applyFont="1" applyBorder="1" applyAlignment="1">
      <alignment horizontal="center"/>
    </xf>
    <xf numFmtId="43" fontId="10" fillId="0" borderId="23" xfId="1" applyNumberFormat="1" applyFont="1" applyBorder="1"/>
    <xf numFmtId="43" fontId="10" fillId="0" borderId="23" xfId="1" applyFont="1" applyBorder="1"/>
    <xf numFmtId="43" fontId="10" fillId="0" borderId="28" xfId="1" applyFont="1" applyBorder="1"/>
    <xf numFmtId="0" fontId="12" fillId="5" borderId="20" xfId="2" applyNumberFormat="1" applyFont="1" applyFill="1" applyBorder="1" applyAlignment="1">
      <alignment horizontal="center" vertical="top"/>
    </xf>
    <xf numFmtId="43" fontId="13" fillId="5" borderId="21" xfId="1" applyNumberFormat="1" applyFont="1" applyFill="1" applyBorder="1"/>
    <xf numFmtId="0" fontId="11" fillId="2" borderId="21" xfId="2" applyNumberFormat="1" applyFont="1" applyFill="1" applyBorder="1" applyAlignment="1">
      <alignment vertical="top" wrapText="1"/>
    </xf>
    <xf numFmtId="0" fontId="11" fillId="2" borderId="21" xfId="2" applyNumberFormat="1" applyFont="1" applyFill="1" applyBorder="1" applyAlignment="1">
      <alignment wrapText="1"/>
    </xf>
    <xf numFmtId="49" fontId="11" fillId="2" borderId="20" xfId="2" applyNumberFormat="1" applyFont="1" applyFill="1" applyBorder="1" applyAlignment="1">
      <alignment horizontal="center"/>
    </xf>
    <xf numFmtId="0" fontId="10" fillId="6" borderId="20" xfId="0" applyFont="1" applyFill="1" applyBorder="1" applyAlignment="1">
      <alignment horizontal="center"/>
    </xf>
    <xf numFmtId="43" fontId="10" fillId="6" borderId="20" xfId="1" applyNumberFormat="1" applyFont="1" applyFill="1" applyBorder="1"/>
    <xf numFmtId="165" fontId="10" fillId="6" borderId="20" xfId="1" applyNumberFormat="1" applyFont="1" applyFill="1" applyBorder="1"/>
    <xf numFmtId="43" fontId="10" fillId="6" borderId="20" xfId="1" applyFont="1" applyFill="1" applyBorder="1"/>
    <xf numFmtId="43" fontId="10" fillId="6" borderId="21" xfId="1" applyFont="1" applyFill="1" applyBorder="1"/>
    <xf numFmtId="164" fontId="10" fillId="0" borderId="0" xfId="0" applyNumberFormat="1" applyFont="1"/>
    <xf numFmtId="49" fontId="9" fillId="3" borderId="19" xfId="0" applyNumberFormat="1" applyFont="1" applyFill="1" applyBorder="1"/>
    <xf numFmtId="0" fontId="16" fillId="3" borderId="20" xfId="0" applyFont="1" applyFill="1" applyBorder="1" applyAlignment="1">
      <alignment wrapText="1"/>
    </xf>
    <xf numFmtId="0" fontId="9" fillId="3" borderId="20" xfId="0" applyFont="1" applyFill="1" applyBorder="1" applyAlignment="1">
      <alignment horizontal="center"/>
    </xf>
    <xf numFmtId="43" fontId="9" fillId="3" borderId="20" xfId="1" applyNumberFormat="1" applyFont="1" applyFill="1" applyBorder="1"/>
    <xf numFmtId="165" fontId="9" fillId="3" borderId="20" xfId="1" applyNumberFormat="1" applyFont="1" applyFill="1" applyBorder="1"/>
    <xf numFmtId="0" fontId="10" fillId="3" borderId="0" xfId="0" applyFont="1" applyFill="1"/>
    <xf numFmtId="166" fontId="10" fillId="0" borderId="0" xfId="0" applyNumberFormat="1" applyFont="1"/>
    <xf numFmtId="49" fontId="10" fillId="3" borderId="19" xfId="0" applyNumberFormat="1" applyFont="1" applyFill="1" applyBorder="1"/>
    <xf numFmtId="0" fontId="10" fillId="3" borderId="20" xfId="0" applyFont="1" applyFill="1" applyBorder="1" applyAlignment="1">
      <alignment horizontal="center"/>
    </xf>
    <xf numFmtId="43" fontId="10" fillId="3" borderId="20" xfId="1" applyNumberFormat="1" applyFont="1" applyFill="1" applyBorder="1"/>
    <xf numFmtId="165" fontId="10" fillId="3" borderId="20" xfId="1" applyNumberFormat="1" applyFont="1" applyFill="1" applyBorder="1"/>
    <xf numFmtId="43" fontId="10" fillId="3" borderId="20" xfId="1" applyFont="1" applyFill="1" applyBorder="1"/>
    <xf numFmtId="0" fontId="10" fillId="3" borderId="20" xfId="0" applyFont="1" applyFill="1" applyBorder="1" applyAlignment="1">
      <alignment wrapText="1"/>
    </xf>
    <xf numFmtId="165" fontId="10" fillId="0" borderId="23" xfId="1" applyNumberFormat="1" applyFont="1" applyBorder="1"/>
    <xf numFmtId="165" fontId="10" fillId="3" borderId="23" xfId="1" applyNumberFormat="1" applyFont="1" applyFill="1" applyBorder="1"/>
    <xf numFmtId="43" fontId="10" fillId="3" borderId="23" xfId="1" applyFont="1" applyFill="1" applyBorder="1"/>
    <xf numFmtId="49" fontId="9" fillId="0" borderId="19" xfId="0" applyNumberFormat="1" applyFont="1" applyBorder="1" applyAlignment="1">
      <alignment vertical="top"/>
    </xf>
    <xf numFmtId="49" fontId="10" fillId="0" borderId="19" xfId="0" applyNumberFormat="1" applyFont="1" applyBorder="1" applyAlignment="1">
      <alignment vertical="top"/>
    </xf>
    <xf numFmtId="0" fontId="11" fillId="3" borderId="20" xfId="3" applyFont="1" applyFill="1" applyBorder="1" applyAlignment="1">
      <alignment horizontal="left" wrapText="1"/>
    </xf>
    <xf numFmtId="43" fontId="11" fillId="3" borderId="20" xfId="1" applyFont="1" applyFill="1" applyBorder="1" applyAlignment="1">
      <alignment horizontal="center"/>
    </xf>
    <xf numFmtId="0" fontId="9" fillId="0" borderId="20" xfId="0" applyFont="1" applyBorder="1" applyAlignment="1">
      <alignment wrapText="1"/>
    </xf>
    <xf numFmtId="43" fontId="10" fillId="0" borderId="25" xfId="1" applyFont="1" applyBorder="1"/>
    <xf numFmtId="43" fontId="10" fillId="0" borderId="26" xfId="1" applyFont="1" applyBorder="1"/>
    <xf numFmtId="43" fontId="9" fillId="0" borderId="28" xfId="1" applyFont="1" applyBorder="1"/>
    <xf numFmtId="49" fontId="13" fillId="2" borderId="19" xfId="2" applyNumberFormat="1" applyFont="1" applyFill="1" applyBorder="1" applyAlignment="1">
      <alignment horizontal="center" vertical="justify"/>
    </xf>
    <xf numFmtId="0" fontId="11" fillId="2" borderId="20" xfId="2" applyNumberFormat="1" applyFont="1" applyFill="1" applyBorder="1" applyAlignment="1"/>
    <xf numFmtId="0" fontId="11" fillId="2" borderId="21" xfId="2" applyNumberFormat="1" applyFont="1" applyFill="1" applyBorder="1" applyAlignment="1"/>
    <xf numFmtId="0" fontId="16" fillId="0" borderId="20" xfId="0" applyFont="1" applyBorder="1"/>
    <xf numFmtId="0" fontId="16" fillId="6" borderId="20" xfId="0" applyFont="1" applyFill="1" applyBorder="1"/>
    <xf numFmtId="0" fontId="9" fillId="0" borderId="20" xfId="0" applyFont="1" applyBorder="1"/>
    <xf numFmtId="0" fontId="10" fillId="0" borderId="20" xfId="0" applyFont="1" applyBorder="1"/>
    <xf numFmtId="0" fontId="12" fillId="5" borderId="20" xfId="2" applyNumberFormat="1" applyFont="1" applyFill="1" applyBorder="1" applyAlignment="1">
      <alignment horizontal="center"/>
    </xf>
    <xf numFmtId="43" fontId="13" fillId="5" borderId="21" xfId="2" applyFont="1" applyFill="1" applyBorder="1"/>
    <xf numFmtId="43" fontId="9" fillId="0" borderId="20" xfId="1" applyFont="1" applyBorder="1" applyAlignment="1"/>
    <xf numFmtId="0" fontId="10" fillId="0" borderId="0" xfId="0" applyFont="1" applyAlignment="1"/>
    <xf numFmtId="49" fontId="13" fillId="3" borderId="19" xfId="2" applyNumberFormat="1" applyFont="1" applyFill="1" applyBorder="1" applyAlignment="1">
      <alignment horizontal="center" vertical="justify"/>
    </xf>
    <xf numFmtId="0" fontId="12" fillId="3" borderId="20" xfId="2" quotePrefix="1" applyNumberFormat="1" applyFont="1" applyFill="1" applyBorder="1" applyAlignment="1">
      <alignment horizontal="center"/>
    </xf>
    <xf numFmtId="43" fontId="13" fillId="3" borderId="20" xfId="2" applyFont="1" applyFill="1" applyBorder="1" applyAlignment="1">
      <alignment horizontal="center"/>
    </xf>
    <xf numFmtId="165" fontId="11" fillId="3" borderId="20" xfId="1" applyNumberFormat="1" applyFont="1" applyFill="1" applyBorder="1" applyAlignment="1">
      <alignment horizontal="center"/>
    </xf>
    <xf numFmtId="0" fontId="12" fillId="3" borderId="20" xfId="2" applyNumberFormat="1" applyFont="1" applyFill="1" applyBorder="1" applyAlignment="1">
      <alignment horizontal="center"/>
    </xf>
    <xf numFmtId="49" fontId="13" fillId="10" borderId="19" xfId="2" applyNumberFormat="1" applyFont="1" applyFill="1" applyBorder="1" applyAlignment="1">
      <alignment horizontal="center"/>
    </xf>
    <xf numFmtId="0" fontId="12" fillId="10" borderId="20" xfId="2" applyNumberFormat="1" applyFont="1" applyFill="1" applyBorder="1" applyAlignment="1">
      <alignment horizontal="left" wrapText="1"/>
    </xf>
    <xf numFmtId="43" fontId="13" fillId="10" borderId="20" xfId="2" applyFont="1" applyFill="1" applyBorder="1" applyAlignment="1">
      <alignment horizontal="center"/>
    </xf>
    <xf numFmtId="43" fontId="13" fillId="10" borderId="20" xfId="1" applyNumberFormat="1" applyFont="1" applyFill="1" applyBorder="1" applyAlignment="1">
      <alignment horizontal="center"/>
    </xf>
    <xf numFmtId="165" fontId="11" fillId="10" borderId="20" xfId="1" applyNumberFormat="1" applyFont="1" applyFill="1" applyBorder="1" applyAlignment="1">
      <alignment horizontal="center"/>
    </xf>
    <xf numFmtId="43" fontId="10" fillId="10" borderId="20" xfId="1" applyFont="1" applyFill="1" applyBorder="1"/>
    <xf numFmtId="43" fontId="10" fillId="10" borderId="21" xfId="1" applyFont="1" applyFill="1" applyBorder="1"/>
    <xf numFmtId="43" fontId="10" fillId="3" borderId="21" xfId="1" applyFont="1" applyFill="1" applyBorder="1"/>
    <xf numFmtId="43" fontId="11" fillId="10" borderId="20" xfId="2" applyFont="1" applyFill="1" applyBorder="1" applyAlignment="1">
      <alignment horizontal="center"/>
    </xf>
    <xf numFmtId="43" fontId="11" fillId="10" borderId="20" xfId="1" applyNumberFormat="1" applyFont="1" applyFill="1" applyBorder="1" applyAlignment="1">
      <alignment horizontal="center"/>
    </xf>
    <xf numFmtId="49" fontId="13" fillId="2" borderId="19" xfId="2" applyNumberFormat="1" applyFont="1" applyFill="1" applyBorder="1" applyAlignment="1">
      <alignment horizontal="center"/>
    </xf>
    <xf numFmtId="165" fontId="11" fillId="6" borderId="20" xfId="1" applyNumberFormat="1" applyFont="1" applyFill="1" applyBorder="1" applyAlignment="1">
      <alignment horizontal="center"/>
    </xf>
    <xf numFmtId="0" fontId="11" fillId="2" borderId="1" xfId="2" applyNumberFormat="1" applyFont="1" applyFill="1" applyBorder="1" applyAlignment="1">
      <alignment horizontal="left" wrapText="1"/>
    </xf>
    <xf numFmtId="0" fontId="10" fillId="0" borderId="1" xfId="0" applyFont="1" applyBorder="1" applyAlignment="1">
      <alignment horizontal="center"/>
    </xf>
    <xf numFmtId="43" fontId="11" fillId="3" borderId="1" xfId="1" applyNumberFormat="1" applyFont="1" applyFill="1" applyBorder="1" applyAlignment="1">
      <alignment horizontal="center"/>
    </xf>
    <xf numFmtId="165" fontId="10" fillId="0" borderId="1" xfId="1" applyNumberFormat="1" applyFont="1" applyBorder="1"/>
    <xf numFmtId="43" fontId="10" fillId="0" borderId="1" xfId="1" applyFont="1" applyBorder="1"/>
    <xf numFmtId="0" fontId="11" fillId="2" borderId="0" xfId="2" applyNumberFormat="1" applyFont="1" applyFill="1" applyBorder="1" applyAlignment="1">
      <alignment horizontal="left" wrapText="1"/>
    </xf>
    <xf numFmtId="0" fontId="10" fillId="0" borderId="0" xfId="0" applyFont="1" applyBorder="1" applyAlignment="1">
      <alignment horizontal="center"/>
    </xf>
    <xf numFmtId="43" fontId="11" fillId="3" borderId="0" xfId="1" applyNumberFormat="1" applyFont="1" applyFill="1" applyBorder="1" applyAlignment="1">
      <alignment horizontal="center"/>
    </xf>
    <xf numFmtId="165" fontId="10" fillId="0" borderId="0" xfId="1" applyNumberFormat="1" applyFont="1" applyBorder="1"/>
    <xf numFmtId="43" fontId="10" fillId="0" borderId="0" xfId="1" applyFont="1" applyBorder="1"/>
    <xf numFmtId="49" fontId="13" fillId="5" borderId="19" xfId="2" applyNumberFormat="1" applyFont="1" applyFill="1" applyBorder="1" applyAlignment="1">
      <alignment horizontal="center"/>
    </xf>
    <xf numFmtId="0" fontId="12" fillId="5" borderId="20" xfId="2" applyNumberFormat="1" applyFont="1" applyFill="1" applyBorder="1" applyAlignment="1">
      <alignment horizontal="left" wrapText="1"/>
    </xf>
    <xf numFmtId="43" fontId="10" fillId="5" borderId="20" xfId="1" applyFont="1" applyFill="1" applyBorder="1"/>
    <xf numFmtId="43" fontId="10" fillId="5" borderId="21" xfId="1" applyFont="1" applyFill="1" applyBorder="1"/>
    <xf numFmtId="49" fontId="13" fillId="3" borderId="19" xfId="2" applyNumberFormat="1" applyFont="1" applyFill="1" applyBorder="1" applyAlignment="1">
      <alignment horizontal="center"/>
    </xf>
    <xf numFmtId="0" fontId="11" fillId="3" borderId="20" xfId="2" applyNumberFormat="1" applyFont="1" applyFill="1" applyBorder="1" applyAlignment="1">
      <alignment horizontal="left" wrapText="1"/>
    </xf>
    <xf numFmtId="49" fontId="11" fillId="3" borderId="19" xfId="2" applyNumberFormat="1" applyFont="1" applyFill="1" applyBorder="1" applyAlignment="1">
      <alignment horizontal="center" vertical="top"/>
    </xf>
    <xf numFmtId="49" fontId="13" fillId="6" borderId="19" xfId="2" applyNumberFormat="1" applyFont="1" applyFill="1" applyBorder="1" applyAlignment="1">
      <alignment horizontal="center" vertical="justify"/>
    </xf>
    <xf numFmtId="0" fontId="12" fillId="6" borderId="20" xfId="2" applyNumberFormat="1" applyFont="1" applyFill="1" applyBorder="1" applyAlignment="1">
      <alignment horizontal="left" vertical="top"/>
    </xf>
    <xf numFmtId="43" fontId="11" fillId="6" borderId="20" xfId="2" applyFont="1" applyFill="1" applyBorder="1" applyAlignment="1">
      <alignment horizontal="center"/>
    </xf>
    <xf numFmtId="43" fontId="11" fillId="6" borderId="20" xfId="1" applyNumberFormat="1" applyFont="1" applyFill="1" applyBorder="1" applyAlignment="1">
      <alignment horizontal="center"/>
    </xf>
    <xf numFmtId="49" fontId="13" fillId="8" borderId="19" xfId="2" applyNumberFormat="1" applyFont="1" applyFill="1" applyBorder="1" applyAlignment="1">
      <alignment horizontal="center" vertical="justify"/>
    </xf>
    <xf numFmtId="0" fontId="12" fillId="8" borderId="20" xfId="2" applyNumberFormat="1" applyFont="1" applyFill="1" applyBorder="1" applyAlignment="1">
      <alignment horizontal="left" vertical="top"/>
    </xf>
    <xf numFmtId="43" fontId="11" fillId="8" borderId="20" xfId="2" applyFont="1" applyFill="1" applyBorder="1" applyAlignment="1">
      <alignment horizontal="center"/>
    </xf>
    <xf numFmtId="43" fontId="11" fillId="8" borderId="20" xfId="1" applyNumberFormat="1" applyFont="1" applyFill="1" applyBorder="1" applyAlignment="1">
      <alignment horizontal="center"/>
    </xf>
    <xf numFmtId="165" fontId="11" fillId="8" borderId="20" xfId="1" applyNumberFormat="1" applyFont="1" applyFill="1" applyBorder="1" applyAlignment="1">
      <alignment horizontal="center"/>
    </xf>
    <xf numFmtId="43" fontId="10" fillId="8" borderId="20" xfId="1" applyFont="1" applyFill="1" applyBorder="1"/>
    <xf numFmtId="43" fontId="10" fillId="8" borderId="21" xfId="1" applyFont="1" applyFill="1" applyBorder="1"/>
    <xf numFmtId="0" fontId="11" fillId="0" borderId="20" xfId="3" applyFont="1" applyBorder="1" applyAlignment="1">
      <alignment horizontal="left" wrapText="1"/>
    </xf>
    <xf numFmtId="0" fontId="11" fillId="0" borderId="20" xfId="3" applyFont="1" applyFill="1" applyBorder="1" applyAlignment="1">
      <alignment horizontal="center"/>
    </xf>
    <xf numFmtId="164" fontId="10" fillId="0" borderId="0" xfId="0" applyNumberFormat="1" applyFont="1" applyAlignment="1"/>
    <xf numFmtId="43" fontId="10" fillId="0" borderId="0" xfId="0" applyNumberFormat="1" applyFont="1" applyAlignment="1"/>
    <xf numFmtId="49" fontId="13" fillId="2" borderId="24" xfId="2" applyNumberFormat="1" applyFont="1" applyFill="1" applyBorder="1" applyAlignment="1">
      <alignment horizontal="center" vertical="justify"/>
    </xf>
    <xf numFmtId="43" fontId="13" fillId="2" borderId="25" xfId="2" applyFont="1" applyFill="1" applyBorder="1" applyAlignment="1">
      <alignment horizontal="center"/>
    </xf>
    <xf numFmtId="43" fontId="13" fillId="3" borderId="25" xfId="1" applyNumberFormat="1" applyFont="1" applyFill="1" applyBorder="1" applyAlignment="1">
      <alignment horizontal="center"/>
    </xf>
    <xf numFmtId="49" fontId="13" fillId="2" borderId="27" xfId="2" applyNumberFormat="1" applyFont="1" applyFill="1" applyBorder="1" applyAlignment="1">
      <alignment horizontal="center" vertical="justify"/>
    </xf>
    <xf numFmtId="43" fontId="13" fillId="2" borderId="23" xfId="2" applyFont="1" applyFill="1" applyBorder="1" applyAlignment="1">
      <alignment horizontal="center"/>
    </xf>
    <xf numFmtId="43" fontId="13" fillId="3" borderId="23" xfId="1" applyNumberFormat="1" applyFont="1" applyFill="1" applyBorder="1" applyAlignment="1">
      <alignment horizontal="center"/>
    </xf>
    <xf numFmtId="0" fontId="11" fillId="7" borderId="20" xfId="1" applyNumberFormat="1" applyFont="1" applyFill="1" applyBorder="1" applyAlignment="1">
      <alignment vertical="center" wrapText="1"/>
    </xf>
    <xf numFmtId="0" fontId="11" fillId="7" borderId="20" xfId="1" applyNumberFormat="1" applyFont="1" applyFill="1" applyBorder="1" applyAlignment="1">
      <alignment vertical="center"/>
    </xf>
    <xf numFmtId="0" fontId="11" fillId="7" borderId="21" xfId="1" applyNumberFormat="1" applyFont="1" applyFill="1" applyBorder="1" applyAlignment="1">
      <alignment vertical="center"/>
    </xf>
    <xf numFmtId="0" fontId="11" fillId="0" borderId="20" xfId="0" applyFont="1" applyBorder="1" applyAlignment="1">
      <alignment vertical="center" wrapText="1"/>
    </xf>
    <xf numFmtId="0" fontId="11" fillId="0" borderId="21" xfId="0" applyFont="1" applyBorder="1" applyAlignment="1">
      <alignment vertical="center" wrapText="1"/>
    </xf>
    <xf numFmtId="0" fontId="11" fillId="2" borderId="20" xfId="3" applyNumberFormat="1" applyFont="1" applyFill="1" applyBorder="1" applyAlignment="1">
      <alignment wrapText="1"/>
    </xf>
    <xf numFmtId="0" fontId="11" fillId="2" borderId="21" xfId="3" applyNumberFormat="1" applyFont="1" applyFill="1" applyBorder="1" applyAlignment="1">
      <alignment wrapText="1"/>
    </xf>
    <xf numFmtId="0" fontId="12" fillId="5" borderId="20" xfId="2" applyNumberFormat="1" applyFont="1" applyFill="1" applyBorder="1" applyAlignment="1">
      <alignment horizontal="left"/>
    </xf>
    <xf numFmtId="0" fontId="13" fillId="6" borderId="20" xfId="3" applyFont="1" applyFill="1" applyBorder="1" applyAlignment="1">
      <alignment horizontal="center"/>
    </xf>
    <xf numFmtId="43" fontId="13" fillId="6" borderId="20" xfId="1" applyNumberFormat="1" applyFont="1" applyFill="1" applyBorder="1" applyAlignment="1">
      <alignment horizontal="center"/>
    </xf>
    <xf numFmtId="165" fontId="13" fillId="6" borderId="20" xfId="1" applyNumberFormat="1" applyFont="1" applyFill="1" applyBorder="1" applyAlignment="1">
      <alignment horizontal="center"/>
    </xf>
    <xf numFmtId="0" fontId="11" fillId="3" borderId="20" xfId="2" applyNumberFormat="1" applyFont="1" applyFill="1" applyBorder="1" applyAlignment="1">
      <alignment horizontal="justify"/>
    </xf>
    <xf numFmtId="0" fontId="10" fillId="0" borderId="1" xfId="0" applyFont="1" applyBorder="1"/>
    <xf numFmtId="43" fontId="10" fillId="0" borderId="1" xfId="1" applyNumberFormat="1" applyFont="1" applyBorder="1"/>
    <xf numFmtId="0" fontId="11" fillId="2" borderId="21" xfId="2" applyNumberFormat="1" applyFont="1" applyFill="1" applyBorder="1" applyAlignment="1">
      <alignment vertical="top"/>
    </xf>
    <xf numFmtId="0" fontId="10" fillId="0" borderId="0" xfId="0" applyFont="1" applyAlignment="1">
      <alignment vertical="top"/>
    </xf>
    <xf numFmtId="43" fontId="9" fillId="0" borderId="1" xfId="1" applyNumberFormat="1" applyFont="1" applyBorder="1"/>
    <xf numFmtId="0" fontId="16" fillId="6" borderId="1" xfId="0" applyFont="1" applyFill="1" applyBorder="1"/>
    <xf numFmtId="43" fontId="9" fillId="6" borderId="1" xfId="1" applyNumberFormat="1" applyFont="1" applyFill="1" applyBorder="1"/>
    <xf numFmtId="0" fontId="11" fillId="2" borderId="20" xfId="3" applyFont="1" applyFill="1" applyBorder="1" applyAlignment="1">
      <alignment horizontal="left" wrapText="1"/>
    </xf>
    <xf numFmtId="0" fontId="11" fillId="0" borderId="20" xfId="3" applyFont="1" applyBorder="1" applyAlignment="1">
      <alignment horizontal="center"/>
    </xf>
    <xf numFmtId="43" fontId="10" fillId="0" borderId="0" xfId="1" applyNumberFormat="1" applyFont="1" applyBorder="1"/>
    <xf numFmtId="0" fontId="12" fillId="6" borderId="20" xfId="2" applyNumberFormat="1" applyFont="1" applyFill="1" applyBorder="1" applyAlignment="1">
      <alignment horizontal="left"/>
    </xf>
    <xf numFmtId="0" fontId="11" fillId="6" borderId="20" xfId="2" applyNumberFormat="1" applyFont="1" applyFill="1" applyBorder="1" applyAlignment="1">
      <alignment horizontal="center"/>
    </xf>
    <xf numFmtId="43" fontId="11" fillId="6" borderId="21" xfId="2" applyFont="1" applyFill="1" applyBorder="1"/>
    <xf numFmtId="49" fontId="13" fillId="2" borderId="19" xfId="3" applyNumberFormat="1" applyFont="1" applyFill="1" applyBorder="1" applyAlignment="1">
      <alignment horizontal="center"/>
    </xf>
    <xf numFmtId="0" fontId="12" fillId="0" borderId="20" xfId="3" applyFont="1" applyFill="1" applyBorder="1" applyAlignment="1">
      <alignment horizontal="left" wrapText="1"/>
    </xf>
    <xf numFmtId="0" fontId="19" fillId="0" borderId="20" xfId="3" applyFont="1" applyFill="1" applyBorder="1" applyAlignment="1">
      <alignment horizontal="center"/>
    </xf>
    <xf numFmtId="43" fontId="19" fillId="3" borderId="20" xfId="1" applyNumberFormat="1" applyFont="1" applyFill="1" applyBorder="1" applyAlignment="1">
      <alignment horizontal="center"/>
    </xf>
    <xf numFmtId="165" fontId="13" fillId="2" borderId="20" xfId="1" applyNumberFormat="1" applyFont="1" applyFill="1" applyBorder="1" applyAlignment="1">
      <alignment horizontal="center"/>
    </xf>
    <xf numFmtId="49" fontId="13" fillId="6" borderId="19" xfId="1" applyNumberFormat="1" applyFont="1" applyFill="1" applyBorder="1" applyAlignment="1">
      <alignment horizontal="left" vertical="justify"/>
    </xf>
    <xf numFmtId="0" fontId="12" fillId="6" borderId="20" xfId="2" applyNumberFormat="1" applyFont="1" applyFill="1" applyBorder="1" applyAlignment="1">
      <alignment horizontal="justify"/>
    </xf>
    <xf numFmtId="43" fontId="13" fillId="6" borderId="20" xfId="2" applyFont="1" applyFill="1" applyBorder="1" applyAlignment="1">
      <alignment horizontal="center"/>
    </xf>
    <xf numFmtId="43" fontId="13" fillId="6" borderId="20" xfId="1" applyFont="1" applyFill="1" applyBorder="1" applyAlignment="1">
      <alignment horizontal="center"/>
    </xf>
    <xf numFmtId="49" fontId="13" fillId="10" borderId="19" xfId="1" applyNumberFormat="1" applyFont="1" applyFill="1" applyBorder="1" applyAlignment="1">
      <alignment horizontal="left" vertical="justify"/>
    </xf>
    <xf numFmtId="0" fontId="12" fillId="10" borderId="20" xfId="2" applyNumberFormat="1" applyFont="1" applyFill="1" applyBorder="1" applyAlignment="1">
      <alignment horizontal="justify"/>
    </xf>
    <xf numFmtId="43" fontId="11" fillId="10" borderId="20" xfId="1" applyFont="1" applyFill="1" applyBorder="1" applyAlignment="1">
      <alignment horizontal="center"/>
    </xf>
    <xf numFmtId="43" fontId="13" fillId="10" borderId="21" xfId="2" applyFont="1" applyFill="1" applyBorder="1"/>
    <xf numFmtId="49" fontId="11" fillId="3" borderId="19" xfId="1" applyNumberFormat="1" applyFont="1" applyFill="1" applyBorder="1" applyAlignment="1">
      <alignment horizontal="left" vertical="justify"/>
    </xf>
    <xf numFmtId="0" fontId="12" fillId="10" borderId="20" xfId="2" applyNumberFormat="1" applyFont="1" applyFill="1" applyBorder="1" applyAlignment="1">
      <alignment horizontal="left"/>
    </xf>
    <xf numFmtId="0" fontId="11" fillId="3" borderId="1" xfId="3" applyFont="1" applyFill="1" applyBorder="1" applyAlignment="1">
      <alignment horizontal="left" wrapText="1"/>
    </xf>
    <xf numFmtId="0" fontId="12" fillId="10" borderId="20" xfId="3" applyFont="1" applyFill="1" applyBorder="1" applyAlignment="1">
      <alignment horizontal="left" wrapText="1"/>
    </xf>
    <xf numFmtId="0" fontId="13" fillId="10" borderId="20" xfId="3" applyFont="1" applyFill="1" applyBorder="1" applyAlignment="1">
      <alignment horizontal="center"/>
    </xf>
    <xf numFmtId="49" fontId="13" fillId="2" borderId="19" xfId="2" applyNumberFormat="1" applyFont="1" applyFill="1" applyBorder="1" applyAlignment="1">
      <alignment horizontal="left" vertical="justify"/>
    </xf>
    <xf numFmtId="43" fontId="11" fillId="2" borderId="20" xfId="1" applyNumberFormat="1" applyFont="1" applyFill="1" applyBorder="1" applyAlignment="1">
      <alignment horizontal="center"/>
    </xf>
    <xf numFmtId="49" fontId="11" fillId="2" borderId="19" xfId="2" applyNumberFormat="1" applyFont="1" applyFill="1" applyBorder="1" applyAlignment="1">
      <alignment horizontal="left" vertical="justify"/>
    </xf>
    <xf numFmtId="49" fontId="11" fillId="2" borderId="19" xfId="2" applyNumberFormat="1" applyFont="1" applyFill="1" applyBorder="1" applyAlignment="1">
      <alignment horizontal="left"/>
    </xf>
    <xf numFmtId="0" fontId="13" fillId="2" borderId="20" xfId="2" applyNumberFormat="1" applyFont="1" applyFill="1" applyBorder="1" applyAlignment="1">
      <alignment wrapText="1"/>
    </xf>
    <xf numFmtId="49" fontId="13" fillId="9" borderId="19" xfId="1" applyNumberFormat="1" applyFont="1" applyFill="1" applyBorder="1" applyAlignment="1">
      <alignment horizontal="left" vertical="justify"/>
    </xf>
    <xf numFmtId="0" fontId="12" fillId="9" borderId="20" xfId="2" applyNumberFormat="1" applyFont="1" applyFill="1" applyBorder="1" applyAlignment="1">
      <alignment horizontal="justify"/>
    </xf>
    <xf numFmtId="43" fontId="13" fillId="9" borderId="20" xfId="2" applyFont="1" applyFill="1" applyBorder="1" applyAlignment="1">
      <alignment horizontal="center"/>
    </xf>
    <xf numFmtId="43" fontId="13" fillId="9" borderId="20" xfId="1" applyFont="1" applyFill="1" applyBorder="1" applyAlignment="1">
      <alignment horizontal="center"/>
    </xf>
    <xf numFmtId="165" fontId="13" fillId="9" borderId="20" xfId="1" applyNumberFormat="1" applyFont="1" applyFill="1" applyBorder="1" applyAlignment="1">
      <alignment horizontal="center"/>
    </xf>
    <xf numFmtId="43" fontId="10" fillId="9" borderId="20" xfId="1" applyFont="1" applyFill="1" applyBorder="1"/>
    <xf numFmtId="43" fontId="10" fillId="9" borderId="21" xfId="1" applyFont="1" applyFill="1" applyBorder="1"/>
    <xf numFmtId="43" fontId="11" fillId="3" borderId="20" xfId="1" applyNumberFormat="1" applyFont="1" applyFill="1" applyBorder="1" applyAlignment="1"/>
    <xf numFmtId="43" fontId="9" fillId="3" borderId="21" xfId="1" applyFont="1" applyFill="1" applyBorder="1" applyAlignment="1"/>
    <xf numFmtId="43" fontId="9" fillId="3" borderId="21" xfId="1" applyFont="1" applyFill="1" applyBorder="1"/>
    <xf numFmtId="43" fontId="11" fillId="3" borderId="23" xfId="1" applyNumberFormat="1" applyFont="1" applyFill="1" applyBorder="1" applyAlignment="1"/>
    <xf numFmtId="43" fontId="9" fillId="3" borderId="28" xfId="1" applyFont="1" applyFill="1" applyBorder="1"/>
    <xf numFmtId="0" fontId="10" fillId="0" borderId="25" xfId="0" applyFont="1" applyBorder="1" applyAlignment="1">
      <alignment horizontal="center"/>
    </xf>
    <xf numFmtId="43" fontId="10" fillId="0" borderId="25" xfId="1" applyNumberFormat="1" applyFont="1" applyBorder="1"/>
    <xf numFmtId="165" fontId="10" fillId="0" borderId="25" xfId="1" applyNumberFormat="1" applyFont="1" applyBorder="1"/>
    <xf numFmtId="165" fontId="11" fillId="2" borderId="19" xfId="1" applyNumberFormat="1" applyFont="1" applyFill="1" applyBorder="1" applyAlignment="1">
      <alignment horizontal="left" vertical="justify"/>
    </xf>
    <xf numFmtId="165" fontId="13" fillId="5" borderId="19" xfId="1" applyNumberFormat="1" applyFont="1" applyFill="1" applyBorder="1" applyAlignment="1">
      <alignment horizontal="left" vertical="justify"/>
    </xf>
    <xf numFmtId="0" fontId="11" fillId="5" borderId="20" xfId="3" applyFont="1" applyFill="1" applyBorder="1" applyAlignment="1">
      <alignment horizontal="center"/>
    </xf>
    <xf numFmtId="43" fontId="11" fillId="5" borderId="20" xfId="1" applyFont="1" applyFill="1" applyBorder="1" applyAlignment="1">
      <alignment horizontal="center"/>
    </xf>
    <xf numFmtId="165" fontId="11" fillId="2" borderId="24" xfId="1" applyNumberFormat="1" applyFont="1" applyFill="1" applyBorder="1" applyAlignment="1">
      <alignment horizontal="left" vertical="justify"/>
    </xf>
    <xf numFmtId="165" fontId="11" fillId="2" borderId="27" xfId="1" applyNumberFormat="1" applyFont="1" applyFill="1" applyBorder="1" applyAlignment="1">
      <alignment horizontal="left" vertical="justify"/>
    </xf>
    <xf numFmtId="165" fontId="11" fillId="5" borderId="19" xfId="1" applyNumberFormat="1" applyFont="1" applyFill="1" applyBorder="1" applyAlignment="1">
      <alignment horizontal="left" vertical="justify"/>
    </xf>
    <xf numFmtId="165" fontId="11" fillId="3" borderId="19" xfId="1" applyNumberFormat="1" applyFont="1" applyFill="1" applyBorder="1" applyAlignment="1">
      <alignment horizontal="left" vertical="justify"/>
    </xf>
    <xf numFmtId="0" fontId="12" fillId="3" borderId="20" xfId="2" applyNumberFormat="1" applyFont="1" applyFill="1" applyBorder="1" applyAlignment="1">
      <alignment horizontal="left"/>
    </xf>
    <xf numFmtId="49" fontId="11" fillId="3" borderId="19" xfId="0" applyNumberFormat="1" applyFont="1" applyFill="1" applyBorder="1" applyAlignment="1">
      <alignment horizontal="center" vertical="center"/>
    </xf>
    <xf numFmtId="0" fontId="12" fillId="3" borderId="20" xfId="0" applyFont="1" applyFill="1" applyBorder="1" applyAlignment="1">
      <alignment vertical="center" wrapText="1"/>
    </xf>
    <xf numFmtId="0" fontId="11" fillId="3" borderId="20" xfId="0" applyFont="1" applyFill="1" applyBorder="1" applyAlignment="1">
      <alignment horizontal="center" vertical="center"/>
    </xf>
    <xf numFmtId="43" fontId="11" fillId="3" borderId="20" xfId="0" applyNumberFormat="1" applyFont="1" applyFill="1" applyBorder="1" applyAlignment="1">
      <alignment horizontal="center" vertical="center"/>
    </xf>
    <xf numFmtId="49" fontId="11" fillId="6" borderId="19" xfId="0" applyNumberFormat="1" applyFont="1" applyFill="1" applyBorder="1" applyAlignment="1">
      <alignment horizontal="center" vertical="center"/>
    </xf>
    <xf numFmtId="0" fontId="12" fillId="6" borderId="20" xfId="0" applyFont="1" applyFill="1" applyBorder="1" applyAlignment="1">
      <alignment vertical="center" wrapText="1"/>
    </xf>
    <xf numFmtId="0" fontId="11" fillId="6" borderId="20" xfId="0" applyFont="1" applyFill="1" applyBorder="1" applyAlignment="1">
      <alignment horizontal="center" vertical="center"/>
    </xf>
    <xf numFmtId="43" fontId="11" fillId="6" borderId="20" xfId="0" applyNumberFormat="1" applyFont="1" applyFill="1" applyBorder="1" applyAlignment="1">
      <alignment horizontal="center" vertical="center"/>
    </xf>
    <xf numFmtId="0" fontId="11" fillId="3" borderId="20" xfId="0" applyFont="1" applyFill="1" applyBorder="1" applyAlignment="1">
      <alignment vertical="center" wrapText="1"/>
    </xf>
    <xf numFmtId="0" fontId="15" fillId="3" borderId="20" xfId="0" applyFont="1" applyFill="1" applyBorder="1" applyAlignment="1">
      <alignment vertical="center" wrapText="1"/>
    </xf>
    <xf numFmtId="0" fontId="11" fillId="3" borderId="23" xfId="0" applyFont="1" applyFill="1" applyBorder="1" applyAlignment="1">
      <alignment horizontal="center" vertical="center"/>
    </xf>
    <xf numFmtId="43" fontId="11" fillId="3" borderId="23" xfId="0" applyNumberFormat="1" applyFont="1" applyFill="1" applyBorder="1" applyAlignment="1">
      <alignment horizontal="center" vertical="center"/>
    </xf>
    <xf numFmtId="49" fontId="13" fillId="3" borderId="19" xfId="0" applyNumberFormat="1" applyFont="1" applyFill="1" applyBorder="1" applyAlignment="1">
      <alignment horizontal="center" vertical="top"/>
    </xf>
    <xf numFmtId="0" fontId="12" fillId="3" borderId="20" xfId="0" applyFont="1" applyFill="1" applyBorder="1" applyAlignment="1">
      <alignment vertical="justify" wrapText="1"/>
    </xf>
    <xf numFmtId="49" fontId="11" fillId="3" borderId="19" xfId="0" applyNumberFormat="1" applyFont="1" applyFill="1" applyBorder="1" applyAlignment="1">
      <alignment horizontal="center" vertical="top"/>
    </xf>
    <xf numFmtId="0" fontId="11" fillId="3" borderId="20" xfId="0" applyFont="1" applyFill="1" applyBorder="1" applyAlignment="1">
      <alignment wrapText="1"/>
    </xf>
    <xf numFmtId="0" fontId="11" fillId="3" borderId="20" xfId="0" applyFont="1" applyFill="1" applyBorder="1" applyAlignment="1">
      <alignment horizontal="center"/>
    </xf>
    <xf numFmtId="43" fontId="11" fillId="3" borderId="20" xfId="0" applyNumberFormat="1" applyFont="1" applyFill="1" applyBorder="1" applyAlignment="1">
      <alignment horizontal="center"/>
    </xf>
    <xf numFmtId="0" fontId="11" fillId="3" borderId="20" xfId="0" applyFont="1" applyFill="1" applyBorder="1" applyAlignment="1">
      <alignment vertical="justify" wrapText="1"/>
    </xf>
    <xf numFmtId="0" fontId="13" fillId="3" borderId="20" xfId="0" applyFont="1" applyFill="1" applyBorder="1" applyAlignment="1">
      <alignment horizontal="center" vertical="center"/>
    </xf>
    <xf numFmtId="43" fontId="13" fillId="3" borderId="20" xfId="0" applyNumberFormat="1" applyFont="1" applyFill="1" applyBorder="1" applyAlignment="1">
      <alignment horizontal="center" vertical="center"/>
    </xf>
    <xf numFmtId="0" fontId="11" fillId="3" borderId="20" xfId="0" applyFont="1" applyFill="1" applyBorder="1" applyAlignment="1">
      <alignment vertical="top" wrapText="1"/>
    </xf>
    <xf numFmtId="168" fontId="2" fillId="11" borderId="19" xfId="4" applyNumberFormat="1" applyFont="1" applyFill="1" applyBorder="1" applyAlignment="1" applyProtection="1">
      <alignment horizontal="left" wrapText="1"/>
    </xf>
    <xf numFmtId="167" fontId="21" fillId="11" borderId="20" xfId="4" applyFont="1" applyFill="1" applyBorder="1" applyAlignment="1" applyProtection="1">
      <alignment horizontal="justify" wrapText="1"/>
    </xf>
    <xf numFmtId="43" fontId="22" fillId="0" borderId="20" xfId="1" applyFont="1" applyFill="1" applyBorder="1" applyAlignment="1" applyProtection="1">
      <alignment horizontal="center"/>
    </xf>
    <xf numFmtId="0" fontId="22" fillId="0" borderId="20" xfId="5" applyFont="1" applyFill="1" applyBorder="1" applyAlignment="1">
      <alignment horizontal="center"/>
    </xf>
    <xf numFmtId="167" fontId="24" fillId="0" borderId="20" xfId="6" applyNumberFormat="1" applyFont="1" applyFill="1" applyBorder="1" applyAlignment="1" applyProtection="1">
      <alignment horizontal="right"/>
    </xf>
    <xf numFmtId="43" fontId="23" fillId="0" borderId="21" xfId="1" applyFont="1" applyBorder="1"/>
    <xf numFmtId="170" fontId="11" fillId="0" borderId="19" xfId="4" applyNumberFormat="1" applyFont="1" applyFill="1" applyBorder="1" applyAlignment="1" applyProtection="1">
      <alignment horizontal="left" wrapText="1"/>
    </xf>
    <xf numFmtId="167" fontId="10" fillId="11" borderId="20" xfId="4" applyFont="1" applyFill="1" applyBorder="1" applyAlignment="1" applyProtection="1">
      <alignment horizontal="left" wrapText="1"/>
    </xf>
    <xf numFmtId="43" fontId="10" fillId="0" borderId="20" xfId="1" applyFont="1" applyFill="1" applyBorder="1" applyAlignment="1" applyProtection="1">
      <alignment horizontal="center"/>
    </xf>
    <xf numFmtId="167" fontId="10" fillId="0" borderId="20" xfId="6" applyNumberFormat="1" applyFont="1" applyFill="1" applyBorder="1" applyAlignment="1" applyProtection="1">
      <alignment horizontal="right"/>
    </xf>
    <xf numFmtId="0" fontId="12" fillId="2" borderId="20" xfId="2" quotePrefix="1" applyNumberFormat="1" applyFont="1" applyFill="1" applyBorder="1" applyAlignment="1">
      <alignment horizontal="left"/>
    </xf>
    <xf numFmtId="0" fontId="11" fillId="2" borderId="20" xfId="2" quotePrefix="1" applyNumberFormat="1" applyFont="1" applyFill="1" applyBorder="1" applyAlignment="1">
      <alignment horizontal="left"/>
    </xf>
    <xf numFmtId="0" fontId="15" fillId="2" borderId="20" xfId="2" quotePrefix="1" applyNumberFormat="1" applyFont="1" applyFill="1" applyBorder="1" applyAlignment="1">
      <alignment horizontal="left"/>
    </xf>
    <xf numFmtId="49" fontId="11" fillId="3" borderId="27" xfId="0" applyNumberFormat="1" applyFont="1" applyFill="1" applyBorder="1" applyAlignment="1">
      <alignment horizontal="center" vertical="center"/>
    </xf>
    <xf numFmtId="0" fontId="11" fillId="3" borderId="23" xfId="0" applyFont="1" applyFill="1" applyBorder="1" applyAlignment="1">
      <alignment vertical="center" wrapText="1"/>
    </xf>
    <xf numFmtId="43" fontId="10" fillId="3" borderId="28" xfId="1" applyFont="1" applyFill="1" applyBorder="1"/>
    <xf numFmtId="0" fontId="11" fillId="0" borderId="23" xfId="3" applyFont="1" applyBorder="1" applyAlignment="1">
      <alignment horizontal="left" wrapText="1"/>
    </xf>
    <xf numFmtId="0" fontId="11" fillId="0" borderId="23" xfId="3" applyFont="1" applyBorder="1" applyAlignment="1">
      <alignment horizontal="center"/>
    </xf>
    <xf numFmtId="49" fontId="11" fillId="3" borderId="27" xfId="1" applyNumberFormat="1" applyFont="1" applyFill="1" applyBorder="1" applyAlignment="1">
      <alignment horizontal="left" vertical="justify"/>
    </xf>
    <xf numFmtId="0" fontId="11" fillId="3" borderId="23" xfId="3" applyFont="1" applyFill="1" applyBorder="1" applyAlignment="1">
      <alignment horizontal="left" wrapText="1"/>
    </xf>
    <xf numFmtId="0" fontId="11" fillId="3" borderId="23" xfId="3" applyFont="1" applyFill="1" applyBorder="1" applyAlignment="1">
      <alignment horizontal="center"/>
    </xf>
    <xf numFmtId="43" fontId="11" fillId="3" borderId="23" xfId="1" applyFont="1" applyFill="1" applyBorder="1" applyAlignment="1">
      <alignment horizontal="center"/>
    </xf>
    <xf numFmtId="0" fontId="11" fillId="2" borderId="0" xfId="2" applyNumberFormat="1" applyFont="1" applyFill="1" applyBorder="1" applyAlignment="1">
      <alignment horizontal="left" wrapText="1"/>
    </xf>
    <xf numFmtId="0" fontId="15" fillId="3" borderId="20" xfId="2" applyNumberFormat="1" applyFont="1" applyFill="1" applyBorder="1" applyAlignment="1">
      <alignment horizontal="justify"/>
    </xf>
    <xf numFmtId="43" fontId="11" fillId="3" borderId="20" xfId="2" applyFont="1" applyFill="1" applyBorder="1" applyAlignment="1">
      <alignment horizontal="center"/>
    </xf>
    <xf numFmtId="43" fontId="13" fillId="3" borderId="21" xfId="2" applyFont="1" applyFill="1" applyBorder="1"/>
    <xf numFmtId="0" fontId="12" fillId="3" borderId="20" xfId="2" applyNumberFormat="1" applyFont="1" applyFill="1" applyBorder="1" applyAlignment="1">
      <alignment horizontal="justify"/>
    </xf>
    <xf numFmtId="49" fontId="11" fillId="2" borderId="23" xfId="2" applyNumberFormat="1" applyFont="1" applyFill="1" applyBorder="1" applyAlignment="1">
      <alignment horizontal="center"/>
    </xf>
    <xf numFmtId="0" fontId="10" fillId="0" borderId="23" xfId="0" applyFont="1" applyBorder="1"/>
    <xf numFmtId="49" fontId="10" fillId="0" borderId="27" xfId="0" applyNumberFormat="1" applyFont="1" applyBorder="1" applyAlignment="1">
      <alignment vertical="top"/>
    </xf>
    <xf numFmtId="49" fontId="10" fillId="0" borderId="24" xfId="0" applyNumberFormat="1" applyFont="1" applyBorder="1"/>
    <xf numFmtId="0" fontId="10" fillId="0" borderId="25" xfId="0" applyFont="1" applyBorder="1" applyAlignment="1">
      <alignment wrapText="1"/>
    </xf>
    <xf numFmtId="49" fontId="11" fillId="2" borderId="27" xfId="2" applyNumberFormat="1" applyFont="1" applyFill="1" applyBorder="1" applyAlignment="1">
      <alignment horizontal="center" vertical="top"/>
    </xf>
    <xf numFmtId="0" fontId="11" fillId="0" borderId="23" xfId="3" applyFont="1" applyFill="1" applyBorder="1" applyAlignment="1">
      <alignment horizontal="center"/>
    </xf>
    <xf numFmtId="43" fontId="10" fillId="0" borderId="23" xfId="1" applyFont="1" applyBorder="1" applyAlignment="1"/>
    <xf numFmtId="43" fontId="10" fillId="0" borderId="28" xfId="1" applyFont="1" applyBorder="1" applyAlignment="1"/>
    <xf numFmtId="49" fontId="11" fillId="3" borderId="27" xfId="0" applyNumberFormat="1" applyFont="1" applyFill="1" applyBorder="1" applyAlignment="1">
      <alignment horizontal="center" vertical="top"/>
    </xf>
    <xf numFmtId="0" fontId="11" fillId="3" borderId="23" xfId="0" applyFont="1" applyFill="1" applyBorder="1" applyAlignment="1">
      <alignment vertical="justify" wrapText="1"/>
    </xf>
    <xf numFmtId="165" fontId="11" fillId="3" borderId="23" xfId="1" applyNumberFormat="1" applyFont="1" applyFill="1" applyBorder="1" applyAlignment="1">
      <alignment horizontal="center"/>
    </xf>
    <xf numFmtId="49" fontId="10" fillId="0" borderId="29" xfId="0" applyNumberFormat="1" applyFont="1" applyBorder="1" applyAlignment="1">
      <alignment horizontal="center" vertical="center"/>
    </xf>
    <xf numFmtId="0" fontId="10" fillId="0" borderId="30" xfId="0" applyFont="1" applyBorder="1" applyAlignment="1">
      <alignment horizontal="center" vertical="center"/>
    </xf>
    <xf numFmtId="43" fontId="10" fillId="0" borderId="30" xfId="1" applyNumberFormat="1" applyFont="1" applyBorder="1" applyAlignment="1">
      <alignment horizontal="center" vertical="center"/>
    </xf>
    <xf numFmtId="165" fontId="10" fillId="0" borderId="30" xfId="1" applyNumberFormat="1" applyFont="1" applyBorder="1" applyAlignment="1">
      <alignment horizontal="center" vertical="center" wrapText="1"/>
    </xf>
    <xf numFmtId="43" fontId="10" fillId="0" borderId="30" xfId="1" applyFont="1" applyBorder="1" applyAlignment="1">
      <alignment horizontal="center" vertical="center" wrapText="1"/>
    </xf>
    <xf numFmtId="43" fontId="10" fillId="0" borderId="31" xfId="1" applyFont="1" applyBorder="1" applyAlignment="1">
      <alignment horizontal="center" vertical="center" wrapText="1"/>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13" fillId="2" borderId="12" xfId="2" applyNumberFormat="1" applyFont="1" applyFill="1" applyBorder="1" applyAlignment="1">
      <alignment horizontal="left" wrapText="1"/>
    </xf>
    <xf numFmtId="0" fontId="13" fillId="2" borderId="0" xfId="2" applyNumberFormat="1" applyFont="1" applyFill="1" applyBorder="1" applyAlignment="1">
      <alignment horizontal="left" wrapText="1"/>
    </xf>
    <xf numFmtId="0" fontId="13" fillId="2" borderId="22" xfId="2" applyNumberFormat="1" applyFont="1" applyFill="1" applyBorder="1" applyAlignment="1">
      <alignment horizontal="left" wrapText="1"/>
    </xf>
    <xf numFmtId="0" fontId="13" fillId="2" borderId="16" xfId="2" applyNumberFormat="1" applyFont="1" applyFill="1" applyBorder="1" applyAlignment="1">
      <alignment horizontal="left" wrapText="1"/>
    </xf>
    <xf numFmtId="0" fontId="13" fillId="2" borderId="17" xfId="2" applyNumberFormat="1" applyFont="1" applyFill="1" applyBorder="1" applyAlignment="1">
      <alignment horizontal="left" wrapText="1"/>
    </xf>
    <xf numFmtId="0" fontId="13" fillId="2" borderId="18" xfId="2" applyNumberFormat="1" applyFont="1" applyFill="1" applyBorder="1" applyAlignment="1">
      <alignment horizontal="left" wrapText="1"/>
    </xf>
    <xf numFmtId="0" fontId="11" fillId="2" borderId="12" xfId="2" applyNumberFormat="1" applyFont="1" applyFill="1" applyBorder="1" applyAlignment="1">
      <alignment horizontal="left" vertical="top" wrapText="1"/>
    </xf>
    <xf numFmtId="0" fontId="11" fillId="2" borderId="0" xfId="2" applyNumberFormat="1" applyFont="1" applyFill="1" applyBorder="1" applyAlignment="1">
      <alignment horizontal="left" vertical="top" wrapText="1"/>
    </xf>
    <xf numFmtId="0" fontId="11" fillId="2" borderId="22" xfId="2" applyNumberFormat="1" applyFont="1" applyFill="1" applyBorder="1" applyAlignment="1">
      <alignment horizontal="left" vertical="top" wrapText="1"/>
    </xf>
    <xf numFmtId="0" fontId="11" fillId="2" borderId="13" xfId="2" applyNumberFormat="1" applyFont="1" applyFill="1" applyBorder="1" applyAlignment="1">
      <alignment horizontal="left" wrapText="1"/>
    </xf>
    <xf numFmtId="0" fontId="11" fillId="2" borderId="14" xfId="2" applyNumberFormat="1" applyFont="1" applyFill="1" applyBorder="1" applyAlignment="1">
      <alignment horizontal="left" wrapText="1"/>
    </xf>
    <xf numFmtId="0" fontId="11" fillId="2" borderId="15" xfId="2" applyNumberFormat="1" applyFont="1" applyFill="1" applyBorder="1" applyAlignment="1">
      <alignment horizontal="left" wrapText="1"/>
    </xf>
    <xf numFmtId="0" fontId="11" fillId="2" borderId="12" xfId="2" applyNumberFormat="1" applyFont="1" applyFill="1" applyBorder="1" applyAlignment="1">
      <alignment horizontal="left" wrapText="1"/>
    </xf>
    <xf numFmtId="0" fontId="11" fillId="2" borderId="0" xfId="2" applyNumberFormat="1" applyFont="1" applyFill="1" applyBorder="1" applyAlignment="1">
      <alignment horizontal="left" wrapText="1"/>
    </xf>
    <xf numFmtId="0" fontId="11" fillId="2" borderId="22" xfId="2" applyNumberFormat="1" applyFont="1" applyFill="1" applyBorder="1" applyAlignment="1">
      <alignment horizontal="left" wrapText="1"/>
    </xf>
    <xf numFmtId="49" fontId="16" fillId="0" borderId="0" xfId="0" applyNumberFormat="1" applyFont="1" applyAlignment="1">
      <alignment horizontal="center"/>
    </xf>
    <xf numFmtId="0" fontId="13" fillId="2" borderId="20" xfId="2" applyNumberFormat="1" applyFont="1" applyFill="1" applyBorder="1" applyAlignment="1">
      <alignment horizontal="left" wrapText="1"/>
    </xf>
    <xf numFmtId="0" fontId="13" fillId="2" borderId="20" xfId="2" applyNumberFormat="1" applyFont="1" applyFill="1" applyBorder="1" applyAlignment="1">
      <alignment horizontal="left"/>
    </xf>
    <xf numFmtId="0" fontId="13" fillId="2" borderId="21" xfId="2" applyNumberFormat="1" applyFont="1" applyFill="1" applyBorder="1" applyAlignment="1">
      <alignment horizontal="left"/>
    </xf>
    <xf numFmtId="0" fontId="11" fillId="2" borderId="13" xfId="2" applyNumberFormat="1" applyFont="1" applyFill="1" applyBorder="1" applyAlignment="1">
      <alignment horizontal="left" vertical="top" wrapText="1"/>
    </xf>
    <xf numFmtId="0" fontId="11" fillId="2" borderId="14" xfId="2" applyNumberFormat="1" applyFont="1" applyFill="1" applyBorder="1" applyAlignment="1">
      <alignment horizontal="left" vertical="top" wrapText="1"/>
    </xf>
    <xf numFmtId="0" fontId="11" fillId="2" borderId="15" xfId="2" applyNumberFormat="1" applyFont="1" applyFill="1" applyBorder="1" applyAlignment="1">
      <alignment horizontal="left" vertical="top" wrapText="1"/>
    </xf>
    <xf numFmtId="0" fontId="11" fillId="2" borderId="16" xfId="2" applyNumberFormat="1" applyFont="1" applyFill="1" applyBorder="1" applyAlignment="1">
      <alignment horizontal="left" wrapText="1"/>
    </xf>
    <xf numFmtId="0" fontId="11" fillId="2" borderId="17" xfId="2" applyNumberFormat="1" applyFont="1" applyFill="1" applyBorder="1" applyAlignment="1">
      <alignment horizontal="left" wrapText="1"/>
    </xf>
    <xf numFmtId="0" fontId="11" fillId="2" borderId="18" xfId="2" applyNumberFormat="1" applyFont="1" applyFill="1" applyBorder="1" applyAlignment="1">
      <alignment horizontal="left" wrapText="1"/>
    </xf>
    <xf numFmtId="0" fontId="25" fillId="0" borderId="0" xfId="7" applyFont="1" applyAlignment="1">
      <alignment horizontal="center" vertical="center"/>
    </xf>
    <xf numFmtId="0" fontId="26" fillId="0" borderId="0" xfId="7" applyFont="1"/>
    <xf numFmtId="0" fontId="27" fillId="0" borderId="0" xfId="7" applyFont="1" applyAlignment="1">
      <alignment horizontal="center" vertical="center"/>
    </xf>
    <xf numFmtId="0" fontId="28" fillId="0" borderId="0" xfId="7" applyFont="1" applyAlignment="1">
      <alignment horizontal="center"/>
    </xf>
  </cellXfs>
  <cellStyles count="8">
    <cellStyle name="Comma" xfId="1" builtinId="3"/>
    <cellStyle name="Comma 2" xfId="2"/>
    <cellStyle name="Comma 2 2" xfId="4"/>
    <cellStyle name="Currency 2 2" xfId="6"/>
    <cellStyle name="Normal" xfId="0" builtinId="0"/>
    <cellStyle name="Normal 2" xfId="3"/>
    <cellStyle name="Normal 4" xfId="7"/>
    <cellStyle name="Normal 7"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582705</xdr:colOff>
      <xdr:row>53</xdr:row>
      <xdr:rowOff>11206</xdr:rowOff>
    </xdr:to>
    <xdr:sp macro="" textlink="">
      <xdr:nvSpPr>
        <xdr:cNvPr id="2" name="TextBox 1"/>
        <xdr:cNvSpPr txBox="1"/>
      </xdr:nvSpPr>
      <xdr:spPr>
        <a:xfrm>
          <a:off x="0" y="0"/>
          <a:ext cx="5459505" cy="89361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100" b="1"/>
        </a:p>
        <a:p>
          <a:pPr algn="r"/>
          <a:endParaRPr lang="en-US" sz="1600" b="1"/>
        </a:p>
        <a:p>
          <a:pPr algn="r"/>
          <a:r>
            <a:rPr lang="en-US" sz="1600" b="1"/>
            <a:t>BILL OF QUANTITIES</a:t>
          </a:r>
        </a:p>
        <a:p>
          <a:pPr algn="r"/>
          <a:endParaRPr lang="en-US" sz="1600" b="1"/>
        </a:p>
        <a:p>
          <a:pPr algn="r"/>
          <a:r>
            <a:rPr lang="en-US" sz="1600" b="1"/>
            <a:t>PROJECT: NILANDHOO SCHOOL</a:t>
          </a:r>
        </a:p>
        <a:p>
          <a:pPr algn="r"/>
          <a:r>
            <a:rPr lang="en-US" sz="1600" b="1"/>
            <a:t>CLIENT: MINISTRY OF EDUCATION</a:t>
          </a:r>
        </a:p>
        <a:p>
          <a:pPr algn="r"/>
          <a:r>
            <a:rPr lang="en-US" sz="1600" b="1"/>
            <a:t>DATE:FEBRUARY 2017</a:t>
          </a:r>
        </a:p>
        <a:p>
          <a:pPr algn="r"/>
          <a:r>
            <a:rPr lang="en-US" sz="1600" b="1">
              <a:solidFill>
                <a:sysClr val="windowText" lastClr="000000"/>
              </a:solidFill>
            </a:rPr>
            <a:t>QS: SHAFEEULLA</a:t>
          </a:r>
        </a:p>
      </xdr:txBody>
    </xdr:sp>
    <xdr:clientData/>
  </xdr:twoCellAnchor>
  <xdr:twoCellAnchor editAs="oneCell">
    <xdr:from>
      <xdr:col>6</xdr:col>
      <xdr:colOff>381000</xdr:colOff>
      <xdr:row>24</xdr:row>
      <xdr:rowOff>123264</xdr:rowOff>
    </xdr:from>
    <xdr:to>
      <xdr:col>8</xdr:col>
      <xdr:colOff>280146</xdr:colOff>
      <xdr:row>38</xdr:row>
      <xdr:rowOff>150095</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38600" y="4352364"/>
          <a:ext cx="1118346" cy="229378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6:I19"/>
  <sheetViews>
    <sheetView view="pageBreakPreview" topLeftCell="A13" zoomScale="85" zoomScaleSheetLayoutView="85" workbookViewId="0">
      <selection activeCell="K56" sqref="K56"/>
    </sheetView>
  </sheetViews>
  <sheetFormatPr defaultRowHeight="12.75" x14ac:dyDescent="0.2"/>
  <cols>
    <col min="1" max="16384" width="9.140625" style="395"/>
  </cols>
  <sheetData>
    <row r="16" spans="1:9" ht="26.25" x14ac:dyDescent="0.2">
      <c r="A16" s="394" t="s">
        <v>333</v>
      </c>
      <c r="B16" s="394"/>
      <c r="C16" s="394"/>
      <c r="D16" s="394"/>
      <c r="E16" s="394"/>
      <c r="F16" s="394"/>
      <c r="G16" s="394"/>
      <c r="H16" s="394"/>
      <c r="I16" s="394"/>
    </row>
    <row r="17" spans="1:9" ht="24" customHeight="1" x14ac:dyDescent="0.2">
      <c r="A17" s="396" t="s">
        <v>535</v>
      </c>
      <c r="B17" s="396"/>
      <c r="C17" s="396"/>
      <c r="D17" s="396"/>
      <c r="E17" s="396"/>
      <c r="F17" s="396"/>
      <c r="G17" s="396"/>
      <c r="H17" s="396"/>
      <c r="I17" s="396"/>
    </row>
    <row r="19" spans="1:9" ht="15" x14ac:dyDescent="0.25">
      <c r="A19" s="397"/>
      <c r="B19" s="397"/>
      <c r="C19" s="397"/>
      <c r="D19" s="397"/>
      <c r="E19" s="397"/>
      <c r="F19" s="397"/>
      <c r="G19" s="397"/>
      <c r="H19" s="397"/>
      <c r="I19" s="397"/>
    </row>
  </sheetData>
  <mergeCells count="3">
    <mergeCell ref="A16:I16"/>
    <mergeCell ref="A17:I17"/>
    <mergeCell ref="A19:I19"/>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B20" sqref="B20"/>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367" t="s">
        <v>404</v>
      </c>
      <c r="B1" s="367"/>
      <c r="C1" s="367"/>
    </row>
    <row r="2" spans="1:6" ht="15.75" x14ac:dyDescent="0.25">
      <c r="A2" s="368" t="s">
        <v>65</v>
      </c>
      <c r="B2" s="368"/>
      <c r="C2" s="368"/>
    </row>
    <row r="3" spans="1:6" ht="15.75" thickBot="1" x14ac:dyDescent="0.3">
      <c r="A3" s="1"/>
      <c r="B3" s="2"/>
      <c r="C3" s="3"/>
    </row>
    <row r="4" spans="1:6" ht="20.100000000000001" customHeight="1" thickTop="1" thickBot="1" x14ac:dyDescent="0.35">
      <c r="A4" s="4" t="s">
        <v>66</v>
      </c>
      <c r="B4" s="5" t="s">
        <v>67</v>
      </c>
      <c r="C4" s="6" t="s">
        <v>68</v>
      </c>
    </row>
    <row r="5" spans="1:6" ht="24.95" customHeight="1" thickTop="1" x14ac:dyDescent="0.25">
      <c r="A5" s="7" t="s">
        <v>69</v>
      </c>
      <c r="B5" s="8" t="s">
        <v>17</v>
      </c>
      <c r="C5" s="9">
        <f>Boq!G44</f>
        <v>0</v>
      </c>
    </row>
    <row r="6" spans="1:6" ht="24.95" customHeight="1" x14ac:dyDescent="0.25">
      <c r="A6" s="10" t="s">
        <v>70</v>
      </c>
      <c r="B6" s="11" t="s">
        <v>71</v>
      </c>
      <c r="C6" s="12">
        <f>Boq!G89</f>
        <v>0</v>
      </c>
    </row>
    <row r="7" spans="1:6" ht="24.95" customHeight="1" x14ac:dyDescent="0.25">
      <c r="A7" s="10" t="s">
        <v>72</v>
      </c>
      <c r="B7" s="11" t="s">
        <v>73</v>
      </c>
      <c r="C7" s="12">
        <f>Boq!G337</f>
        <v>0</v>
      </c>
    </row>
    <row r="8" spans="1:6" ht="24.95" customHeight="1" x14ac:dyDescent="0.25">
      <c r="A8" s="10" t="s">
        <v>74</v>
      </c>
      <c r="B8" s="11" t="s">
        <v>75</v>
      </c>
      <c r="C8" s="12">
        <f>Boq!G404</f>
        <v>0</v>
      </c>
    </row>
    <row r="9" spans="1:6" ht="24.95" customHeight="1" x14ac:dyDescent="0.25">
      <c r="A9" s="10" t="s">
        <v>76</v>
      </c>
      <c r="B9" s="11" t="s">
        <v>77</v>
      </c>
      <c r="C9" s="12">
        <f>Boq!G559</f>
        <v>0</v>
      </c>
    </row>
    <row r="10" spans="1:6" ht="24.95" customHeight="1" x14ac:dyDescent="0.25">
      <c r="A10" s="10" t="s">
        <v>78</v>
      </c>
      <c r="B10" s="11" t="s">
        <v>80</v>
      </c>
      <c r="C10" s="12">
        <f>Boq!G657</f>
        <v>0</v>
      </c>
    </row>
    <row r="11" spans="1:6" ht="24.95" customHeight="1" x14ac:dyDescent="0.25">
      <c r="A11" s="10" t="s">
        <v>79</v>
      </c>
      <c r="B11" s="11" t="s">
        <v>82</v>
      </c>
      <c r="C11" s="12">
        <f>Boq!G702</f>
        <v>0</v>
      </c>
    </row>
    <row r="12" spans="1:6" ht="24.95" customHeight="1" x14ac:dyDescent="0.25">
      <c r="A12" s="10" t="s">
        <v>81</v>
      </c>
      <c r="B12" s="11" t="s">
        <v>84</v>
      </c>
      <c r="C12" s="12">
        <f>Boq!G732</f>
        <v>0</v>
      </c>
    </row>
    <row r="13" spans="1:6" ht="24.95" customHeight="1" x14ac:dyDescent="0.25">
      <c r="A13" s="10" t="s">
        <v>83</v>
      </c>
      <c r="B13" s="11" t="s">
        <v>86</v>
      </c>
      <c r="C13" s="12">
        <f>Boq!G766</f>
        <v>0</v>
      </c>
    </row>
    <row r="14" spans="1:6" ht="24.95" customHeight="1" x14ac:dyDescent="0.25">
      <c r="A14" s="10" t="s">
        <v>85</v>
      </c>
      <c r="B14" s="11" t="s">
        <v>88</v>
      </c>
      <c r="C14" s="12">
        <f>Boq!G851</f>
        <v>0</v>
      </c>
    </row>
    <row r="15" spans="1:6" ht="24.95" customHeight="1" x14ac:dyDescent="0.25">
      <c r="A15" s="10" t="s">
        <v>87</v>
      </c>
      <c r="B15" s="11" t="s">
        <v>89</v>
      </c>
      <c r="C15" s="12">
        <f>Boq!G970</f>
        <v>0</v>
      </c>
    </row>
    <row r="16" spans="1:6" ht="24.95" customHeight="1" x14ac:dyDescent="0.25">
      <c r="A16" s="10" t="s">
        <v>300</v>
      </c>
      <c r="B16" s="11" t="s">
        <v>392</v>
      </c>
      <c r="C16" s="12">
        <f>Boq!G1013</f>
        <v>0</v>
      </c>
      <c r="F16" s="16" t="e">
        <f>C19/#REF!</f>
        <v>#REF!</v>
      </c>
    </row>
    <row r="17" spans="1:6" ht="24.95" customHeight="1" x14ac:dyDescent="0.25">
      <c r="A17" s="10" t="s">
        <v>310</v>
      </c>
      <c r="B17" s="11" t="s">
        <v>312</v>
      </c>
      <c r="C17" s="12">
        <f>Boq!G1072</f>
        <v>0</v>
      </c>
    </row>
    <row r="18" spans="1:6" ht="24.95" customHeight="1" thickBot="1" x14ac:dyDescent="0.3">
      <c r="A18" s="10" t="s">
        <v>311</v>
      </c>
      <c r="B18" s="11" t="s">
        <v>313</v>
      </c>
      <c r="C18" s="12">
        <f>-Boq!G1131</f>
        <v>0</v>
      </c>
      <c r="F18" s="16">
        <f>C19*3%</f>
        <v>0</v>
      </c>
    </row>
    <row r="19" spans="1:6" ht="24.95" customHeight="1" thickTop="1" thickBot="1" x14ac:dyDescent="0.3">
      <c r="A19" s="13"/>
      <c r="B19" s="14" t="s">
        <v>296</v>
      </c>
      <c r="C19" s="15">
        <f>SUM(C5:C18)</f>
        <v>0</v>
      </c>
      <c r="F19" s="16">
        <f>C19*0.05</f>
        <v>0</v>
      </c>
    </row>
    <row r="20" spans="1:6" ht="24.95" customHeight="1" thickTop="1" thickBot="1" x14ac:dyDescent="0.3">
      <c r="A20" s="13"/>
      <c r="B20" s="14" t="s">
        <v>297</v>
      </c>
      <c r="C20" s="15">
        <f>C19*6%</f>
        <v>0</v>
      </c>
    </row>
    <row r="21" spans="1:6" ht="31.5" customHeight="1" thickTop="1" thickBot="1" x14ac:dyDescent="0.3">
      <c r="A21" s="13"/>
      <c r="B21" s="14" t="s">
        <v>298</v>
      </c>
      <c r="C21" s="15">
        <f>C19+C20</f>
        <v>0</v>
      </c>
    </row>
    <row r="22"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31"/>
  <sheetViews>
    <sheetView tabSelected="1" topLeftCell="A411" zoomScaleNormal="100" zoomScaleSheetLayoutView="100" workbookViewId="0">
      <selection activeCell="W373" sqref="W373"/>
    </sheetView>
  </sheetViews>
  <sheetFormatPr defaultRowHeight="12" x14ac:dyDescent="0.2"/>
  <cols>
    <col min="1" max="1" width="6.85546875" style="18" customWidth="1"/>
    <col min="2" max="2" width="37.85546875" style="19" customWidth="1"/>
    <col min="3" max="3" width="5.140625" style="20" customWidth="1"/>
    <col min="4" max="4" width="9.140625" style="21" customWidth="1"/>
    <col min="5" max="5" width="11.85546875" style="22" customWidth="1"/>
    <col min="6" max="7" width="11.5703125" style="23" customWidth="1"/>
    <col min="8" max="8" width="4.5703125" style="19" customWidth="1"/>
    <col min="9" max="9" width="14.42578125" style="19" hidden="1" customWidth="1"/>
    <col min="10" max="10" width="9.140625" style="19" hidden="1" customWidth="1"/>
    <col min="11" max="11" width="9" style="19" hidden="1" customWidth="1"/>
    <col min="12" max="12" width="9.42578125" style="19" hidden="1" customWidth="1"/>
    <col min="13" max="13" width="11.28515625" style="19" hidden="1" customWidth="1"/>
    <col min="14" max="14" width="9.28515625" style="19" hidden="1" customWidth="1"/>
    <col min="15" max="15" width="10.42578125" style="19" hidden="1" customWidth="1"/>
    <col min="16" max="18" width="9.140625" style="19" hidden="1" customWidth="1"/>
    <col min="19" max="20" width="0" style="19" hidden="1" customWidth="1"/>
    <col min="21" max="16384" width="9.140625" style="19"/>
  </cols>
  <sheetData>
    <row r="1" spans="1:10" s="17" customFormat="1" ht="18.75" customHeight="1" x14ac:dyDescent="0.2">
      <c r="A1" s="384" t="s">
        <v>405</v>
      </c>
      <c r="B1" s="384"/>
      <c r="C1" s="384"/>
      <c r="D1" s="384"/>
      <c r="E1" s="384"/>
      <c r="F1" s="384"/>
      <c r="G1" s="384"/>
    </row>
    <row r="2" spans="1:10" ht="12.75" thickBot="1" x14ac:dyDescent="0.25"/>
    <row r="3" spans="1:10" s="26" customFormat="1" ht="24" x14ac:dyDescent="0.25">
      <c r="A3" s="361" t="s">
        <v>0</v>
      </c>
      <c r="B3" s="362" t="s">
        <v>1</v>
      </c>
      <c r="C3" s="362" t="s">
        <v>2</v>
      </c>
      <c r="D3" s="363" t="s">
        <v>3</v>
      </c>
      <c r="E3" s="364" t="s">
        <v>4</v>
      </c>
      <c r="F3" s="365" t="s">
        <v>5</v>
      </c>
      <c r="G3" s="366" t="s">
        <v>6</v>
      </c>
    </row>
    <row r="4" spans="1:10" s="26" customFormat="1" x14ac:dyDescent="0.2">
      <c r="A4" s="27"/>
      <c r="B4" s="28" t="s">
        <v>16</v>
      </c>
      <c r="C4" s="29"/>
      <c r="D4" s="30"/>
      <c r="E4" s="31"/>
      <c r="F4" s="32"/>
      <c r="G4" s="33"/>
      <c r="I4" s="34"/>
      <c r="J4" s="35"/>
    </row>
    <row r="5" spans="1:10" s="26" customFormat="1" x14ac:dyDescent="0.2">
      <c r="A5" s="27"/>
      <c r="B5" s="36" t="s">
        <v>17</v>
      </c>
      <c r="C5" s="29"/>
      <c r="D5" s="30"/>
      <c r="E5" s="31"/>
      <c r="F5" s="32"/>
      <c r="G5" s="33"/>
    </row>
    <row r="6" spans="1:10" s="26" customFormat="1" x14ac:dyDescent="0.2">
      <c r="A6" s="27"/>
      <c r="B6" s="37"/>
      <c r="C6" s="29"/>
      <c r="D6" s="30"/>
      <c r="E6" s="31"/>
      <c r="F6" s="32"/>
      <c r="G6" s="33"/>
    </row>
    <row r="7" spans="1:10" s="26" customFormat="1" x14ac:dyDescent="0.2">
      <c r="A7" s="27">
        <v>1.1000000000000001</v>
      </c>
      <c r="B7" s="38" t="s">
        <v>18</v>
      </c>
      <c r="C7" s="29"/>
      <c r="D7" s="30"/>
      <c r="E7" s="31"/>
      <c r="F7" s="32"/>
      <c r="G7" s="33"/>
    </row>
    <row r="8" spans="1:10" s="26" customFormat="1" x14ac:dyDescent="0.2">
      <c r="A8" s="39" t="s">
        <v>7</v>
      </c>
      <c r="B8" s="40" t="s">
        <v>19</v>
      </c>
      <c r="C8" s="29"/>
      <c r="D8" s="30"/>
      <c r="E8" s="31"/>
      <c r="F8" s="32"/>
      <c r="G8" s="33"/>
    </row>
    <row r="9" spans="1:10" s="26" customFormat="1" x14ac:dyDescent="0.2">
      <c r="A9" s="27"/>
      <c r="B9" s="41" t="s">
        <v>20</v>
      </c>
      <c r="C9" s="29"/>
      <c r="D9" s="30"/>
      <c r="E9" s="31"/>
      <c r="F9" s="32"/>
      <c r="G9" s="33"/>
    </row>
    <row r="10" spans="1:10" s="26" customFormat="1" x14ac:dyDescent="0.2">
      <c r="A10" s="27"/>
      <c r="B10" s="41" t="s">
        <v>21</v>
      </c>
      <c r="C10" s="29"/>
      <c r="D10" s="30"/>
      <c r="E10" s="31"/>
      <c r="F10" s="32"/>
      <c r="G10" s="33"/>
    </row>
    <row r="11" spans="1:10" s="26" customFormat="1" x14ac:dyDescent="0.2">
      <c r="A11" s="27"/>
      <c r="B11" s="41" t="s">
        <v>22</v>
      </c>
      <c r="C11" s="29"/>
      <c r="D11" s="30"/>
      <c r="E11" s="31"/>
      <c r="F11" s="32"/>
      <c r="G11" s="33"/>
    </row>
    <row r="12" spans="1:10" s="26" customFormat="1" x14ac:dyDescent="0.2">
      <c r="A12" s="27"/>
      <c r="B12" s="41" t="s">
        <v>23</v>
      </c>
      <c r="C12" s="29"/>
      <c r="D12" s="30"/>
      <c r="E12" s="31"/>
      <c r="F12" s="32"/>
      <c r="G12" s="33"/>
    </row>
    <row r="13" spans="1:10" s="26" customFormat="1" x14ac:dyDescent="0.2">
      <c r="A13" s="27"/>
      <c r="B13" s="41" t="s">
        <v>20</v>
      </c>
      <c r="C13" s="29"/>
      <c r="D13" s="30"/>
      <c r="E13" s="31"/>
      <c r="F13" s="32"/>
      <c r="G13" s="33"/>
    </row>
    <row r="14" spans="1:10" s="26" customFormat="1" x14ac:dyDescent="0.2">
      <c r="A14" s="27"/>
      <c r="B14" s="41" t="s">
        <v>24</v>
      </c>
      <c r="C14" s="29"/>
      <c r="D14" s="30"/>
      <c r="E14" s="31"/>
      <c r="F14" s="32"/>
      <c r="G14" s="33"/>
    </row>
    <row r="15" spans="1:10" s="26" customFormat="1" x14ac:dyDescent="0.2">
      <c r="A15" s="27"/>
      <c r="B15" s="41" t="s">
        <v>25</v>
      </c>
      <c r="C15" s="29"/>
      <c r="D15" s="30"/>
      <c r="E15" s="31"/>
      <c r="F15" s="32"/>
      <c r="G15" s="33"/>
    </row>
    <row r="16" spans="1:10" s="26" customFormat="1" x14ac:dyDescent="0.2">
      <c r="A16" s="27"/>
      <c r="B16" s="41" t="s">
        <v>26</v>
      </c>
      <c r="C16" s="29"/>
      <c r="D16" s="30"/>
      <c r="E16" s="31"/>
      <c r="F16" s="32"/>
      <c r="G16" s="33"/>
    </row>
    <row r="17" spans="1:7" s="26" customFormat="1" x14ac:dyDescent="0.2">
      <c r="A17" s="27"/>
      <c r="B17" s="41" t="s">
        <v>27</v>
      </c>
      <c r="C17" s="29"/>
      <c r="D17" s="30"/>
      <c r="E17" s="31"/>
      <c r="F17" s="32"/>
      <c r="G17" s="33"/>
    </row>
    <row r="18" spans="1:7" s="26" customFormat="1" x14ac:dyDescent="0.2">
      <c r="A18" s="27"/>
      <c r="B18" s="41" t="s">
        <v>28</v>
      </c>
      <c r="C18" s="29"/>
      <c r="D18" s="30"/>
      <c r="E18" s="31"/>
      <c r="F18" s="32"/>
      <c r="G18" s="33"/>
    </row>
    <row r="19" spans="1:7" s="26" customFormat="1" x14ac:dyDescent="0.2">
      <c r="A19" s="27"/>
      <c r="B19" s="41" t="s">
        <v>29</v>
      </c>
      <c r="C19" s="29"/>
      <c r="D19" s="30"/>
      <c r="E19" s="31"/>
      <c r="F19" s="32"/>
      <c r="G19" s="33"/>
    </row>
    <row r="20" spans="1:7" s="26" customFormat="1" x14ac:dyDescent="0.2">
      <c r="A20" s="27"/>
      <c r="B20" s="41"/>
      <c r="C20" s="29"/>
      <c r="D20" s="30"/>
      <c r="E20" s="31"/>
      <c r="F20" s="32"/>
      <c r="G20" s="33"/>
    </row>
    <row r="21" spans="1:7" s="26" customFormat="1" x14ac:dyDescent="0.2">
      <c r="A21" s="39">
        <v>1.2</v>
      </c>
      <c r="B21" s="42" t="s">
        <v>30</v>
      </c>
      <c r="C21" s="43"/>
      <c r="D21" s="44"/>
      <c r="E21" s="31"/>
      <c r="F21" s="32"/>
      <c r="G21" s="33"/>
    </row>
    <row r="22" spans="1:7" s="26" customFormat="1" ht="60.75" customHeight="1" x14ac:dyDescent="0.2">
      <c r="A22" s="27" t="s">
        <v>7</v>
      </c>
      <c r="B22" s="45" t="s">
        <v>202</v>
      </c>
      <c r="C22" s="43" t="s">
        <v>0</v>
      </c>
      <c r="D22" s="44">
        <v>1</v>
      </c>
      <c r="E22" s="31"/>
      <c r="F22" s="46"/>
      <c r="G22" s="47">
        <f t="shared" ref="G22:G32" si="0">(D22*E22)+(D22*F22)</f>
        <v>0</v>
      </c>
    </row>
    <row r="23" spans="1:7" s="26" customFormat="1" x14ac:dyDescent="0.2">
      <c r="A23" s="39"/>
      <c r="B23" s="45"/>
      <c r="C23" s="43"/>
      <c r="D23" s="44"/>
      <c r="E23" s="31"/>
      <c r="F23" s="46"/>
      <c r="G23" s="47">
        <f t="shared" si="0"/>
        <v>0</v>
      </c>
    </row>
    <row r="24" spans="1:7" s="26" customFormat="1" x14ac:dyDescent="0.2">
      <c r="A24" s="27">
        <v>1.3</v>
      </c>
      <c r="B24" s="42" t="s">
        <v>31</v>
      </c>
      <c r="C24" s="43"/>
      <c r="D24" s="44"/>
      <c r="E24" s="31"/>
      <c r="F24" s="46"/>
      <c r="G24" s="47">
        <f t="shared" si="0"/>
        <v>0</v>
      </c>
    </row>
    <row r="25" spans="1:7" s="26" customFormat="1" x14ac:dyDescent="0.2">
      <c r="A25" s="27" t="s">
        <v>7</v>
      </c>
      <c r="B25" s="48" t="s">
        <v>32</v>
      </c>
      <c r="C25" s="43" t="s">
        <v>33</v>
      </c>
      <c r="D25" s="44">
        <v>1</v>
      </c>
      <c r="E25" s="31"/>
      <c r="F25" s="46"/>
      <c r="G25" s="47">
        <f t="shared" si="0"/>
        <v>0</v>
      </c>
    </row>
    <row r="26" spans="1:7" s="26" customFormat="1" x14ac:dyDescent="0.2">
      <c r="A26" s="27"/>
      <c r="B26" s="48"/>
      <c r="C26" s="43"/>
      <c r="D26" s="44"/>
      <c r="E26" s="31"/>
      <c r="F26" s="46"/>
      <c r="G26" s="47">
        <f t="shared" si="0"/>
        <v>0</v>
      </c>
    </row>
    <row r="27" spans="1:7" s="26" customFormat="1" ht="12.75" x14ac:dyDescent="0.2">
      <c r="A27" s="322">
        <v>1.4</v>
      </c>
      <c r="B27" s="323" t="s">
        <v>359</v>
      </c>
      <c r="C27" s="324"/>
      <c r="D27" s="325"/>
      <c r="E27" s="326"/>
      <c r="F27" s="326">
        <f t="shared" ref="F27" si="1">E27*C27</f>
        <v>0</v>
      </c>
      <c r="G27" s="327">
        <f t="shared" si="0"/>
        <v>0</v>
      </c>
    </row>
    <row r="28" spans="1:7" s="26" customFormat="1" ht="92.25" customHeight="1" x14ac:dyDescent="0.2">
      <c r="A28" s="328"/>
      <c r="B28" s="329" t="s">
        <v>360</v>
      </c>
      <c r="C28" s="330" t="s">
        <v>14</v>
      </c>
      <c r="D28" s="44">
        <v>1</v>
      </c>
      <c r="E28" s="331"/>
      <c r="F28" s="331"/>
      <c r="G28" s="47">
        <f t="shared" si="0"/>
        <v>0</v>
      </c>
    </row>
    <row r="29" spans="1:7" s="26" customFormat="1" x14ac:dyDescent="0.2">
      <c r="A29" s="27"/>
      <c r="B29" s="48"/>
      <c r="C29" s="43"/>
      <c r="D29" s="44"/>
      <c r="E29" s="31"/>
      <c r="F29" s="46"/>
      <c r="G29" s="47"/>
    </row>
    <row r="30" spans="1:7" s="26" customFormat="1" x14ac:dyDescent="0.2">
      <c r="A30" s="50" t="s">
        <v>161</v>
      </c>
      <c r="B30" s="51" t="s">
        <v>361</v>
      </c>
      <c r="C30" s="52"/>
      <c r="D30" s="53"/>
      <c r="E30" s="31"/>
      <c r="F30" s="46"/>
      <c r="G30" s="47">
        <f t="shared" si="0"/>
        <v>0</v>
      </c>
    </row>
    <row r="31" spans="1:7" s="26" customFormat="1" ht="51" customHeight="1" x14ac:dyDescent="0.2">
      <c r="A31" s="27" t="s">
        <v>7</v>
      </c>
      <c r="B31" s="54" t="s">
        <v>362</v>
      </c>
      <c r="C31" s="43" t="s">
        <v>0</v>
      </c>
      <c r="D31" s="44">
        <v>1</v>
      </c>
      <c r="E31" s="31"/>
      <c r="F31" s="46"/>
      <c r="G31" s="47">
        <f t="shared" si="0"/>
        <v>0</v>
      </c>
    </row>
    <row r="32" spans="1:7" s="26" customFormat="1" x14ac:dyDescent="0.2">
      <c r="A32" s="39"/>
      <c r="B32" s="54"/>
      <c r="C32" s="43"/>
      <c r="D32" s="44"/>
      <c r="E32" s="31"/>
      <c r="F32" s="32"/>
      <c r="G32" s="47">
        <f t="shared" si="0"/>
        <v>0</v>
      </c>
    </row>
    <row r="33" spans="1:7" s="26" customFormat="1" x14ac:dyDescent="0.2">
      <c r="A33" s="50" t="s">
        <v>358</v>
      </c>
      <c r="B33" s="51" t="s">
        <v>34</v>
      </c>
      <c r="C33" s="52"/>
      <c r="D33" s="53"/>
      <c r="E33" s="31"/>
      <c r="F33" s="46"/>
      <c r="G33" s="47">
        <f t="shared" ref="G33:G34" si="2">(D33*E33)+(D33*F33)</f>
        <v>0</v>
      </c>
    </row>
    <row r="34" spans="1:7" s="26" customFormat="1" ht="24" x14ac:dyDescent="0.2">
      <c r="A34" s="27" t="s">
        <v>7</v>
      </c>
      <c r="B34" s="54" t="s">
        <v>35</v>
      </c>
      <c r="C34" s="43" t="s">
        <v>0</v>
      </c>
      <c r="D34" s="44">
        <v>1</v>
      </c>
      <c r="E34" s="31"/>
      <c r="F34" s="46"/>
      <c r="G34" s="47">
        <f t="shared" si="2"/>
        <v>0</v>
      </c>
    </row>
    <row r="35" spans="1:7" s="26" customFormat="1" x14ac:dyDescent="0.2">
      <c r="A35" s="39"/>
      <c r="B35" s="54"/>
      <c r="C35" s="43"/>
      <c r="D35" s="44"/>
      <c r="E35" s="31"/>
      <c r="F35" s="32"/>
      <c r="G35" s="33"/>
    </row>
    <row r="36" spans="1:7" s="26" customFormat="1" x14ac:dyDescent="0.2">
      <c r="A36" s="39"/>
      <c r="B36" s="54"/>
      <c r="C36" s="43"/>
      <c r="D36" s="44"/>
      <c r="E36" s="31"/>
      <c r="F36" s="32"/>
      <c r="G36" s="33"/>
    </row>
    <row r="37" spans="1:7" s="26" customFormat="1" x14ac:dyDescent="0.2">
      <c r="A37" s="39"/>
      <c r="B37" s="54"/>
      <c r="C37" s="43"/>
      <c r="D37" s="44"/>
      <c r="E37" s="31"/>
      <c r="F37" s="32"/>
      <c r="G37" s="33"/>
    </row>
    <row r="38" spans="1:7" s="26" customFormat="1" x14ac:dyDescent="0.2">
      <c r="A38" s="39"/>
      <c r="B38" s="54"/>
      <c r="C38" s="43"/>
      <c r="D38" s="44"/>
      <c r="E38" s="31"/>
      <c r="F38" s="32"/>
      <c r="G38" s="33"/>
    </row>
    <row r="39" spans="1:7" s="26" customFormat="1" x14ac:dyDescent="0.2">
      <c r="A39" s="39"/>
      <c r="B39" s="54"/>
      <c r="C39" s="43"/>
      <c r="D39" s="44"/>
      <c r="E39" s="31"/>
      <c r="F39" s="32"/>
      <c r="G39" s="33"/>
    </row>
    <row r="40" spans="1:7" s="26" customFormat="1" x14ac:dyDescent="0.2">
      <c r="A40" s="39"/>
      <c r="B40" s="54"/>
      <c r="C40" s="43"/>
      <c r="D40" s="44"/>
      <c r="E40" s="31"/>
      <c r="F40" s="32"/>
      <c r="G40" s="33"/>
    </row>
    <row r="41" spans="1:7" s="26" customFormat="1" x14ac:dyDescent="0.2">
      <c r="A41" s="39"/>
      <c r="B41" s="54"/>
      <c r="C41" s="43"/>
      <c r="D41" s="44"/>
      <c r="E41" s="31"/>
      <c r="F41" s="32"/>
      <c r="G41" s="33"/>
    </row>
    <row r="42" spans="1:7" s="26" customFormat="1" ht="12.75" thickBot="1" x14ac:dyDescent="0.25">
      <c r="A42" s="39"/>
      <c r="B42" s="54"/>
      <c r="C42" s="43"/>
      <c r="D42" s="44"/>
      <c r="E42" s="31"/>
      <c r="F42" s="32"/>
      <c r="G42" s="33"/>
    </row>
    <row r="43" spans="1:7" s="26" customFormat="1" x14ac:dyDescent="0.2">
      <c r="A43" s="55"/>
      <c r="B43" s="56" t="s">
        <v>36</v>
      </c>
      <c r="C43" s="57"/>
      <c r="D43" s="58"/>
      <c r="E43" s="59"/>
      <c r="F43" s="24"/>
      <c r="G43" s="25"/>
    </row>
    <row r="44" spans="1:7" s="26" customFormat="1" ht="12.75" thickBot="1" x14ac:dyDescent="0.25">
      <c r="A44" s="60"/>
      <c r="B44" s="61" t="s">
        <v>37</v>
      </c>
      <c r="C44" s="62"/>
      <c r="D44" s="63"/>
      <c r="E44" s="64"/>
      <c r="F44" s="65"/>
      <c r="G44" s="66">
        <f>SUM(G22:G43)</f>
        <v>0</v>
      </c>
    </row>
    <row r="45" spans="1:7" s="26" customFormat="1" x14ac:dyDescent="0.2">
      <c r="A45" s="27"/>
      <c r="B45" s="67"/>
      <c r="C45" s="68"/>
      <c r="D45" s="44"/>
      <c r="E45" s="31"/>
      <c r="F45" s="32"/>
      <c r="G45" s="33"/>
    </row>
    <row r="46" spans="1:7" s="26" customFormat="1" x14ac:dyDescent="0.2">
      <c r="A46" s="27"/>
      <c r="B46" s="36" t="s">
        <v>38</v>
      </c>
      <c r="C46" s="29"/>
      <c r="D46" s="30"/>
      <c r="E46" s="31"/>
      <c r="F46" s="32"/>
      <c r="G46" s="33"/>
    </row>
    <row r="47" spans="1:7" s="26" customFormat="1" x14ac:dyDescent="0.2">
      <c r="A47" s="27"/>
      <c r="B47" s="36" t="s">
        <v>39</v>
      </c>
      <c r="C47" s="29"/>
      <c r="D47" s="30"/>
      <c r="E47" s="31"/>
      <c r="F47" s="32"/>
      <c r="G47" s="33"/>
    </row>
    <row r="48" spans="1:7" s="26" customFormat="1" x14ac:dyDescent="0.2">
      <c r="A48" s="27">
        <v>2.1</v>
      </c>
      <c r="B48" s="38" t="s">
        <v>40</v>
      </c>
      <c r="C48" s="29"/>
      <c r="D48" s="30"/>
      <c r="E48" s="31"/>
      <c r="F48" s="32"/>
      <c r="G48" s="33"/>
    </row>
    <row r="49" spans="1:11" s="26" customFormat="1" ht="65.25" customHeight="1" x14ac:dyDescent="0.2">
      <c r="A49" s="27"/>
      <c r="B49" s="69" t="s">
        <v>203</v>
      </c>
      <c r="C49" s="70"/>
      <c r="D49" s="70"/>
      <c r="E49" s="70"/>
      <c r="F49" s="70"/>
      <c r="G49" s="71"/>
    </row>
    <row r="50" spans="1:11" s="26" customFormat="1" x14ac:dyDescent="0.25">
      <c r="A50" s="72"/>
      <c r="B50" s="73"/>
      <c r="C50" s="73"/>
      <c r="D50" s="74"/>
      <c r="E50" s="75"/>
      <c r="F50" s="73"/>
      <c r="G50" s="76"/>
    </row>
    <row r="51" spans="1:11" s="26" customFormat="1" x14ac:dyDescent="0.2">
      <c r="A51" s="27" t="s">
        <v>43</v>
      </c>
      <c r="B51" s="85" t="s">
        <v>44</v>
      </c>
      <c r="C51" s="43"/>
      <c r="D51" s="44"/>
      <c r="E51" s="31"/>
      <c r="F51" s="32"/>
      <c r="G51" s="33"/>
    </row>
    <row r="52" spans="1:11" s="26" customFormat="1" ht="25.5" customHeight="1" x14ac:dyDescent="0.25">
      <c r="A52" s="27"/>
      <c r="B52" s="86" t="s">
        <v>220</v>
      </c>
      <c r="C52" s="87"/>
      <c r="D52" s="87"/>
      <c r="E52" s="87"/>
      <c r="F52" s="32"/>
      <c r="G52" s="33"/>
    </row>
    <row r="53" spans="1:11" s="26" customFormat="1" ht="25.5" customHeight="1" x14ac:dyDescent="0.25">
      <c r="A53" s="27"/>
      <c r="B53" s="54" t="s">
        <v>221</v>
      </c>
      <c r="C53" s="88"/>
      <c r="D53" s="88"/>
      <c r="E53" s="88"/>
      <c r="F53" s="32"/>
      <c r="G53" s="33"/>
    </row>
    <row r="54" spans="1:11" s="26" customFormat="1" ht="36" x14ac:dyDescent="0.2">
      <c r="A54" s="27" t="s">
        <v>153</v>
      </c>
      <c r="B54" s="89" t="s">
        <v>406</v>
      </c>
      <c r="C54" s="43" t="s">
        <v>42</v>
      </c>
      <c r="D54" s="79">
        <v>52.08</v>
      </c>
      <c r="E54" s="31"/>
      <c r="F54" s="46"/>
      <c r="G54" s="47">
        <f t="shared" ref="G54:G60" si="3">(D54*E54)+(D54*F54)</f>
        <v>0</v>
      </c>
      <c r="I54" s="91"/>
      <c r="K54" s="26">
        <f>2.8*18.6</f>
        <v>52.08</v>
      </c>
    </row>
    <row r="55" spans="1:11" s="26" customFormat="1" ht="24" x14ac:dyDescent="0.2">
      <c r="A55" s="27" t="s">
        <v>154</v>
      </c>
      <c r="B55" s="89" t="s">
        <v>407</v>
      </c>
      <c r="C55" s="43" t="s">
        <v>41</v>
      </c>
      <c r="D55" s="79">
        <v>717.7</v>
      </c>
      <c r="E55" s="31"/>
      <c r="F55" s="46"/>
      <c r="G55" s="47">
        <f t="shared" ref="G55" si="4">(D55*E55)+(D55*F55)</f>
        <v>0</v>
      </c>
    </row>
    <row r="56" spans="1:11" s="26" customFormat="1" ht="38.25" customHeight="1" x14ac:dyDescent="0.2">
      <c r="A56" s="27" t="s">
        <v>163</v>
      </c>
      <c r="B56" s="89" t="s">
        <v>252</v>
      </c>
      <c r="C56" s="43" t="s">
        <v>41</v>
      </c>
      <c r="D56" s="79">
        <f>D55</f>
        <v>717.7</v>
      </c>
      <c r="E56" s="31"/>
      <c r="F56" s="46"/>
      <c r="G56" s="47">
        <f t="shared" si="3"/>
        <v>0</v>
      </c>
    </row>
    <row r="57" spans="1:11" s="26" customFormat="1" x14ac:dyDescent="0.2">
      <c r="A57" s="27">
        <v>2.5</v>
      </c>
      <c r="B57" s="80" t="s">
        <v>45</v>
      </c>
      <c r="C57" s="43"/>
      <c r="D57" s="44"/>
      <c r="E57" s="31"/>
      <c r="F57" s="46"/>
      <c r="G57" s="47">
        <f t="shared" si="3"/>
        <v>0</v>
      </c>
    </row>
    <row r="58" spans="1:11" s="26" customFormat="1" ht="27" customHeight="1" x14ac:dyDescent="0.2">
      <c r="A58" s="27"/>
      <c r="B58" s="90" t="s">
        <v>46</v>
      </c>
      <c r="C58" s="43"/>
      <c r="D58" s="44"/>
      <c r="E58" s="31"/>
      <c r="F58" s="46"/>
      <c r="G58" s="47">
        <f t="shared" si="3"/>
        <v>0</v>
      </c>
    </row>
    <row r="59" spans="1:11" s="26" customFormat="1" ht="24" x14ac:dyDescent="0.2">
      <c r="A59" s="27" t="s">
        <v>153</v>
      </c>
      <c r="B59" s="90" t="s">
        <v>47</v>
      </c>
      <c r="C59" s="43" t="s">
        <v>41</v>
      </c>
      <c r="D59" s="44">
        <f>726.65+306</f>
        <v>1032.6500000000001</v>
      </c>
      <c r="E59" s="31"/>
      <c r="F59" s="46"/>
      <c r="G59" s="47">
        <f t="shared" si="3"/>
        <v>0</v>
      </c>
      <c r="J59" s="91"/>
    </row>
    <row r="60" spans="1:11" s="26" customFormat="1" x14ac:dyDescent="0.2">
      <c r="A60" s="27"/>
      <c r="B60" s="90"/>
      <c r="C60" s="43"/>
      <c r="D60" s="44"/>
      <c r="E60" s="31"/>
      <c r="F60" s="32"/>
      <c r="G60" s="47">
        <f t="shared" si="3"/>
        <v>0</v>
      </c>
    </row>
    <row r="61" spans="1:11" s="26" customFormat="1" x14ac:dyDescent="0.2">
      <c r="A61" s="27"/>
      <c r="B61" s="90"/>
      <c r="C61" s="43"/>
      <c r="D61" s="44"/>
      <c r="E61" s="31"/>
      <c r="F61" s="32"/>
      <c r="G61" s="47"/>
    </row>
    <row r="62" spans="1:11" s="26" customFormat="1" x14ac:dyDescent="0.2">
      <c r="A62" s="27"/>
      <c r="B62" s="90"/>
      <c r="C62" s="43"/>
      <c r="D62" s="44"/>
      <c r="E62" s="31"/>
      <c r="F62" s="32"/>
      <c r="G62" s="47"/>
    </row>
    <row r="63" spans="1:11" s="26" customFormat="1" x14ac:dyDescent="0.2">
      <c r="A63" s="27"/>
      <c r="B63" s="90"/>
      <c r="C63" s="43"/>
      <c r="D63" s="44"/>
      <c r="E63" s="31"/>
      <c r="F63" s="32"/>
      <c r="G63" s="47"/>
    </row>
    <row r="64" spans="1:11" s="26" customFormat="1" x14ac:dyDescent="0.2">
      <c r="A64" s="27"/>
      <c r="B64" s="90"/>
      <c r="C64" s="43"/>
      <c r="D64" s="44"/>
      <c r="E64" s="31"/>
      <c r="F64" s="32"/>
      <c r="G64" s="47"/>
    </row>
    <row r="65" spans="1:7" s="26" customFormat="1" x14ac:dyDescent="0.2">
      <c r="A65" s="27"/>
      <c r="B65" s="90"/>
      <c r="C65" s="43"/>
      <c r="D65" s="44"/>
      <c r="E65" s="31"/>
      <c r="F65" s="32"/>
      <c r="G65" s="47"/>
    </row>
    <row r="66" spans="1:7" s="26" customFormat="1" x14ac:dyDescent="0.2">
      <c r="A66" s="27"/>
      <c r="B66" s="90"/>
      <c r="C66" s="43"/>
      <c r="D66" s="44"/>
      <c r="E66" s="31"/>
      <c r="F66" s="32"/>
      <c r="G66" s="47"/>
    </row>
    <row r="67" spans="1:7" s="26" customFormat="1" x14ac:dyDescent="0.2">
      <c r="A67" s="27"/>
      <c r="B67" s="90"/>
      <c r="C67" s="43"/>
      <c r="D67" s="44"/>
      <c r="E67" s="31"/>
      <c r="F67" s="32"/>
      <c r="G67" s="47"/>
    </row>
    <row r="68" spans="1:7" s="26" customFormat="1" x14ac:dyDescent="0.2">
      <c r="A68" s="27"/>
      <c r="B68" s="90"/>
      <c r="C68" s="43"/>
      <c r="D68" s="44"/>
      <c r="E68" s="31"/>
      <c r="F68" s="32"/>
      <c r="G68" s="47"/>
    </row>
    <row r="69" spans="1:7" s="26" customFormat="1" x14ac:dyDescent="0.2">
      <c r="A69" s="27"/>
      <c r="B69" s="90"/>
      <c r="C69" s="43"/>
      <c r="D69" s="44"/>
      <c r="E69" s="31"/>
      <c r="F69" s="32"/>
      <c r="G69" s="47"/>
    </row>
    <row r="70" spans="1:7" s="26" customFormat="1" x14ac:dyDescent="0.2">
      <c r="A70" s="27"/>
      <c r="B70" s="90"/>
      <c r="C70" s="43"/>
      <c r="D70" s="44"/>
      <c r="E70" s="31"/>
      <c r="F70" s="32"/>
      <c r="G70" s="47"/>
    </row>
    <row r="71" spans="1:7" s="26" customFormat="1" x14ac:dyDescent="0.2">
      <c r="A71" s="27"/>
      <c r="B71" s="90"/>
      <c r="C71" s="43"/>
      <c r="D71" s="44"/>
      <c r="E71" s="31"/>
      <c r="F71" s="32"/>
      <c r="G71" s="47"/>
    </row>
    <row r="72" spans="1:7" s="26" customFormat="1" x14ac:dyDescent="0.2">
      <c r="A72" s="27"/>
      <c r="B72" s="90"/>
      <c r="C72" s="43"/>
      <c r="D72" s="44"/>
      <c r="E72" s="31"/>
      <c r="F72" s="32"/>
      <c r="G72" s="47"/>
    </row>
    <row r="73" spans="1:7" s="26" customFormat="1" x14ac:dyDescent="0.2">
      <c r="A73" s="27"/>
      <c r="B73" s="90"/>
      <c r="C73" s="43"/>
      <c r="D73" s="44"/>
      <c r="E73" s="31"/>
      <c r="F73" s="32"/>
      <c r="G73" s="47"/>
    </row>
    <row r="74" spans="1:7" s="26" customFormat="1" x14ac:dyDescent="0.2">
      <c r="A74" s="27"/>
      <c r="B74" s="90"/>
      <c r="C74" s="43"/>
      <c r="D74" s="44"/>
      <c r="E74" s="31"/>
      <c r="F74" s="32"/>
      <c r="G74" s="47"/>
    </row>
    <row r="75" spans="1:7" s="26" customFormat="1" x14ac:dyDescent="0.2">
      <c r="A75" s="27"/>
      <c r="B75" s="90"/>
      <c r="C75" s="43"/>
      <c r="D75" s="44"/>
      <c r="E75" s="31"/>
      <c r="F75" s="32"/>
      <c r="G75" s="47"/>
    </row>
    <row r="76" spans="1:7" s="26" customFormat="1" x14ac:dyDescent="0.2">
      <c r="A76" s="27"/>
      <c r="B76" s="90"/>
      <c r="C76" s="43"/>
      <c r="D76" s="44"/>
      <c r="E76" s="31"/>
      <c r="F76" s="32"/>
      <c r="G76" s="47"/>
    </row>
    <row r="77" spans="1:7" s="26" customFormat="1" x14ac:dyDescent="0.2">
      <c r="A77" s="27"/>
      <c r="B77" s="90"/>
      <c r="C77" s="43"/>
      <c r="D77" s="44"/>
      <c r="E77" s="31"/>
      <c r="F77" s="32"/>
      <c r="G77" s="47"/>
    </row>
    <row r="78" spans="1:7" s="26" customFormat="1" x14ac:dyDescent="0.2">
      <c r="A78" s="27"/>
      <c r="B78" s="90"/>
      <c r="C78" s="43"/>
      <c r="D78" s="44"/>
      <c r="E78" s="31"/>
      <c r="F78" s="32"/>
      <c r="G78" s="47"/>
    </row>
    <row r="79" spans="1:7" s="26" customFormat="1" x14ac:dyDescent="0.2">
      <c r="A79" s="27"/>
      <c r="B79" s="90"/>
      <c r="C79" s="43"/>
      <c r="D79" s="44"/>
      <c r="E79" s="31"/>
      <c r="F79" s="32"/>
      <c r="G79" s="47"/>
    </row>
    <row r="80" spans="1:7" s="26" customFormat="1" x14ac:dyDescent="0.2">
      <c r="A80" s="27"/>
      <c r="B80" s="90"/>
      <c r="C80" s="43"/>
      <c r="D80" s="44"/>
      <c r="E80" s="31"/>
      <c r="F80" s="32"/>
      <c r="G80" s="47"/>
    </row>
    <row r="81" spans="1:7" s="26" customFormat="1" x14ac:dyDescent="0.2">
      <c r="A81" s="27"/>
      <c r="B81" s="90"/>
      <c r="C81" s="43"/>
      <c r="D81" s="44"/>
      <c r="E81" s="31"/>
      <c r="F81" s="32"/>
      <c r="G81" s="47"/>
    </row>
    <row r="82" spans="1:7" s="26" customFormat="1" x14ac:dyDescent="0.2">
      <c r="A82" s="27"/>
      <c r="B82" s="90"/>
      <c r="C82" s="43"/>
      <c r="D82" s="44"/>
      <c r="E82" s="31"/>
      <c r="F82" s="32"/>
      <c r="G82" s="33"/>
    </row>
    <row r="83" spans="1:7" s="26" customFormat="1" x14ac:dyDescent="0.2">
      <c r="A83" s="27"/>
      <c r="B83" s="90"/>
      <c r="C83" s="43"/>
      <c r="D83" s="44"/>
      <c r="E83" s="31"/>
      <c r="F83" s="32"/>
      <c r="G83" s="33"/>
    </row>
    <row r="84" spans="1:7" s="26" customFormat="1" x14ac:dyDescent="0.2">
      <c r="A84" s="27"/>
      <c r="B84" s="90"/>
      <c r="C84" s="43"/>
      <c r="D84" s="44"/>
      <c r="E84" s="31"/>
      <c r="F84" s="32"/>
      <c r="G84" s="33"/>
    </row>
    <row r="85" spans="1:7" s="26" customFormat="1" x14ac:dyDescent="0.2">
      <c r="A85" s="27"/>
      <c r="B85" s="90"/>
      <c r="C85" s="43"/>
      <c r="D85" s="44"/>
      <c r="E85" s="31"/>
      <c r="F85" s="32"/>
      <c r="G85" s="33"/>
    </row>
    <row r="86" spans="1:7" s="26" customFormat="1" x14ac:dyDescent="0.2">
      <c r="A86" s="27"/>
      <c r="B86" s="90"/>
      <c r="C86" s="43"/>
      <c r="D86" s="44"/>
      <c r="E86" s="31"/>
      <c r="F86" s="32"/>
      <c r="G86" s="33"/>
    </row>
    <row r="87" spans="1:7" s="26" customFormat="1" ht="12.75" thickBot="1" x14ac:dyDescent="0.25">
      <c r="A87" s="27"/>
      <c r="B87" s="90"/>
      <c r="C87" s="43"/>
      <c r="D87" s="44"/>
      <c r="E87" s="31"/>
      <c r="F87" s="32"/>
      <c r="G87" s="33"/>
    </row>
    <row r="88" spans="1:7" s="26" customFormat="1" x14ac:dyDescent="0.2">
      <c r="A88" s="55"/>
      <c r="B88" s="56" t="s">
        <v>48</v>
      </c>
      <c r="C88" s="92"/>
      <c r="D88" s="58"/>
      <c r="E88" s="59"/>
      <c r="F88" s="24"/>
      <c r="G88" s="25"/>
    </row>
    <row r="89" spans="1:7" s="26" customFormat="1" ht="12.75" thickBot="1" x14ac:dyDescent="0.25">
      <c r="A89" s="60"/>
      <c r="B89" s="61" t="s">
        <v>49</v>
      </c>
      <c r="C89" s="93"/>
      <c r="D89" s="63"/>
      <c r="E89" s="64"/>
      <c r="F89" s="65"/>
      <c r="G89" s="66">
        <f>SUM(G51:G88)</f>
        <v>0</v>
      </c>
    </row>
    <row r="90" spans="1:7" s="26" customFormat="1" x14ac:dyDescent="0.2">
      <c r="A90" s="27"/>
      <c r="B90" s="67"/>
      <c r="C90" s="43"/>
      <c r="D90" s="44"/>
      <c r="E90" s="31"/>
      <c r="F90" s="32"/>
      <c r="G90" s="94"/>
    </row>
    <row r="91" spans="1:7" s="26" customFormat="1" x14ac:dyDescent="0.2">
      <c r="A91" s="27"/>
      <c r="B91" s="36" t="s">
        <v>50</v>
      </c>
      <c r="C91" s="43"/>
      <c r="D91" s="44"/>
      <c r="E91" s="31"/>
      <c r="F91" s="32"/>
      <c r="G91" s="33"/>
    </row>
    <row r="92" spans="1:7" s="26" customFormat="1" x14ac:dyDescent="0.2">
      <c r="A92" s="27" t="s">
        <v>51</v>
      </c>
      <c r="B92" s="95" t="s">
        <v>52</v>
      </c>
      <c r="C92" s="43"/>
      <c r="D92" s="44"/>
      <c r="E92" s="31"/>
      <c r="F92" s="32"/>
      <c r="G92" s="33"/>
    </row>
    <row r="93" spans="1:7" s="26" customFormat="1" ht="58.5" customHeight="1" x14ac:dyDescent="0.25">
      <c r="A93" s="27"/>
      <c r="B93" s="86" t="s">
        <v>205</v>
      </c>
      <c r="C93" s="87"/>
      <c r="D93" s="87"/>
      <c r="E93" s="87"/>
      <c r="F93" s="87"/>
      <c r="G93" s="96"/>
    </row>
    <row r="94" spans="1:7" s="26" customFormat="1" ht="35.25" customHeight="1" x14ac:dyDescent="0.25">
      <c r="A94" s="27"/>
      <c r="B94" s="86" t="s">
        <v>204</v>
      </c>
      <c r="C94" s="87"/>
      <c r="D94" s="87"/>
      <c r="E94" s="87"/>
      <c r="F94" s="87"/>
      <c r="G94" s="96"/>
    </row>
    <row r="95" spans="1:7" s="26" customFormat="1" ht="36" customHeight="1" x14ac:dyDescent="0.25">
      <c r="A95" s="27"/>
      <c r="B95" s="86" t="s">
        <v>147</v>
      </c>
      <c r="C95" s="87"/>
      <c r="D95" s="87"/>
      <c r="E95" s="87"/>
      <c r="F95" s="87"/>
      <c r="G95" s="96"/>
    </row>
    <row r="96" spans="1:7" x14ac:dyDescent="0.2">
      <c r="A96" s="102" t="s">
        <v>140</v>
      </c>
      <c r="B96" s="103" t="s">
        <v>56</v>
      </c>
      <c r="C96" s="104"/>
      <c r="D96" s="105"/>
      <c r="E96" s="106"/>
      <c r="F96" s="107"/>
      <c r="G96" s="108"/>
    </row>
    <row r="97" spans="1:13" x14ac:dyDescent="0.2">
      <c r="A97" s="114" t="s">
        <v>531</v>
      </c>
      <c r="B97" s="115" t="s">
        <v>159</v>
      </c>
      <c r="C97" s="116"/>
      <c r="D97" s="117"/>
      <c r="E97" s="118"/>
      <c r="F97" s="119"/>
      <c r="G97" s="120"/>
    </row>
    <row r="98" spans="1:13" ht="13.5" x14ac:dyDescent="0.2">
      <c r="A98" s="111"/>
      <c r="B98" s="112" t="s">
        <v>528</v>
      </c>
      <c r="C98" s="113" t="s">
        <v>334</v>
      </c>
      <c r="D98" s="77">
        <v>9.1460000000000008</v>
      </c>
      <c r="E98" s="31"/>
      <c r="F98" s="46"/>
      <c r="G98" s="47">
        <f t="shared" ref="G98:G99" si="5">(D98*E98)+(D98*F98)</f>
        <v>0</v>
      </c>
      <c r="I98" s="19">
        <f>9*(3.85-1)*0.45*0.25</f>
        <v>2.8856250000000001</v>
      </c>
      <c r="J98" s="19">
        <f>2*(3.85-1.4)*0.45*0.25</f>
        <v>0.55125000000000002</v>
      </c>
      <c r="K98" s="19">
        <f>29*(3.85-2.1)*0.45*0.25</f>
        <v>5.7093750000000005</v>
      </c>
      <c r="L98" s="19">
        <f>SUM(I98:K98)</f>
        <v>9.1462500000000002</v>
      </c>
    </row>
    <row r="99" spans="1:13" ht="13.5" x14ac:dyDescent="0.2">
      <c r="A99" s="111"/>
      <c r="B99" s="112" t="s">
        <v>529</v>
      </c>
      <c r="C99" s="113" t="s">
        <v>334</v>
      </c>
      <c r="D99" s="77">
        <v>3.0619999999999998</v>
      </c>
      <c r="E99" s="31"/>
      <c r="F99" s="46"/>
      <c r="G99" s="47">
        <f t="shared" si="5"/>
        <v>0</v>
      </c>
      <c r="I99" s="19">
        <f>0.5*0.25*14*(3.85-2.1)</f>
        <v>3.0625</v>
      </c>
    </row>
    <row r="100" spans="1:13" ht="13.5" x14ac:dyDescent="0.2">
      <c r="A100" s="111"/>
      <c r="B100" s="112" t="s">
        <v>530</v>
      </c>
      <c r="C100" s="113" t="s">
        <v>334</v>
      </c>
      <c r="D100" s="77">
        <v>0.98399999999999999</v>
      </c>
      <c r="E100" s="31"/>
      <c r="F100" s="46"/>
      <c r="G100" s="47">
        <f t="shared" ref="G100" si="6">(D100*E100)+(D100*F100)</f>
        <v>0</v>
      </c>
      <c r="I100" s="19">
        <f>0.25*0.25*9*(3.85-2.1)</f>
        <v>0.984375</v>
      </c>
    </row>
    <row r="101" spans="1:13" x14ac:dyDescent="0.2">
      <c r="A101" s="114" t="s">
        <v>532</v>
      </c>
      <c r="B101" s="115" t="s">
        <v>184</v>
      </c>
      <c r="C101" s="116"/>
      <c r="D101" s="117"/>
      <c r="E101" s="118"/>
      <c r="F101" s="46"/>
      <c r="G101" s="47">
        <f t="shared" ref="G101:G102" si="7">(D101*E101)+(D101*F101)</f>
        <v>0</v>
      </c>
    </row>
    <row r="102" spans="1:13" ht="13.5" x14ac:dyDescent="0.2">
      <c r="A102" s="111"/>
      <c r="B102" s="112" t="s">
        <v>408</v>
      </c>
      <c r="C102" s="113" t="s">
        <v>334</v>
      </c>
      <c r="D102" s="77">
        <v>2.8</v>
      </c>
      <c r="E102" s="31"/>
      <c r="F102" s="46"/>
      <c r="G102" s="47">
        <f t="shared" si="7"/>
        <v>0</v>
      </c>
      <c r="I102" s="19">
        <f>3.4*1.4*0.15*2</f>
        <v>1.4279999999999999</v>
      </c>
      <c r="J102" s="19">
        <f>2.8*1*0.15</f>
        <v>0.42</v>
      </c>
      <c r="K102" s="19">
        <f>0.0266*1.4*18</f>
        <v>0.67031999999999992</v>
      </c>
      <c r="L102" s="19">
        <f>SUM(I102:K102)</f>
        <v>2.5183199999999997</v>
      </c>
    </row>
    <row r="103" spans="1:13" ht="13.5" x14ac:dyDescent="0.2">
      <c r="A103" s="111"/>
      <c r="B103" s="112" t="s">
        <v>409</v>
      </c>
      <c r="C103" s="113" t="s">
        <v>334</v>
      </c>
      <c r="D103" s="77">
        <v>2.7</v>
      </c>
      <c r="E103" s="31"/>
      <c r="F103" s="46"/>
      <c r="G103" s="47">
        <f t="shared" ref="G103" si="8">(D103*E103)+(D103*F103)</f>
        <v>0</v>
      </c>
      <c r="I103" s="19">
        <f>3.35*2+0.9</f>
        <v>7.6000000000000005</v>
      </c>
      <c r="J103" s="19">
        <f>I103*1.5*0.15</f>
        <v>1.71</v>
      </c>
      <c r="K103" s="19">
        <f>0.026*1.5*18</f>
        <v>0.70199999999999996</v>
      </c>
      <c r="L103" s="19">
        <f>1.5*0.2*1.05</f>
        <v>0.31500000000000006</v>
      </c>
      <c r="M103" s="19">
        <f>SUM(J103:L103)</f>
        <v>2.7269999999999999</v>
      </c>
    </row>
    <row r="104" spans="1:13" x14ac:dyDescent="0.2">
      <c r="A104" s="114" t="s">
        <v>533</v>
      </c>
      <c r="B104" s="115" t="s">
        <v>186</v>
      </c>
      <c r="C104" s="116"/>
      <c r="D104" s="117"/>
      <c r="E104" s="118"/>
      <c r="F104" s="46"/>
      <c r="G104" s="47">
        <f t="shared" ref="G104:G105" si="9">(D104*E104)+(D104*F104)</f>
        <v>0</v>
      </c>
    </row>
    <row r="105" spans="1:13" ht="13.5" x14ac:dyDescent="0.2">
      <c r="A105" s="111"/>
      <c r="B105" s="112" t="s">
        <v>253</v>
      </c>
      <c r="C105" s="113" t="s">
        <v>334</v>
      </c>
      <c r="D105" s="77">
        <v>72.7</v>
      </c>
      <c r="E105" s="31"/>
      <c r="F105" s="46"/>
      <c r="G105" s="47">
        <f t="shared" si="9"/>
        <v>0</v>
      </c>
      <c r="I105" s="19">
        <v>726.7</v>
      </c>
      <c r="K105" s="19">
        <f>SUM(I105:J105)</f>
        <v>726.7</v>
      </c>
      <c r="L105" s="19">
        <f>K105*0.1</f>
        <v>72.67</v>
      </c>
    </row>
    <row r="106" spans="1:13" x14ac:dyDescent="0.2">
      <c r="A106" s="102" t="s">
        <v>141</v>
      </c>
      <c r="B106" s="103" t="s">
        <v>58</v>
      </c>
      <c r="C106" s="104"/>
      <c r="D106" s="105"/>
      <c r="E106" s="106"/>
      <c r="F106" s="107"/>
      <c r="G106" s="108"/>
    </row>
    <row r="107" spans="1:13" x14ac:dyDescent="0.2">
      <c r="A107" s="114" t="s">
        <v>145</v>
      </c>
      <c r="B107" s="115" t="s">
        <v>255</v>
      </c>
      <c r="C107" s="116"/>
      <c r="D107" s="117"/>
      <c r="E107" s="118"/>
      <c r="F107" s="119"/>
      <c r="G107" s="120"/>
    </row>
    <row r="108" spans="1:13" ht="13.5" x14ac:dyDescent="0.2">
      <c r="A108" s="111"/>
      <c r="B108" s="112" t="s">
        <v>416</v>
      </c>
      <c r="C108" s="113" t="s">
        <v>334</v>
      </c>
      <c r="D108" s="77">
        <v>20.64</v>
      </c>
      <c r="E108" s="31"/>
      <c r="F108" s="46"/>
      <c r="G108" s="47">
        <f t="shared" ref="G108:G109" si="10">(D108*E108)+(D108*F108)</f>
        <v>0</v>
      </c>
      <c r="I108" s="19">
        <f>7.8*6+8.05*5+7.8*5+7.8*5</f>
        <v>165.05</v>
      </c>
      <c r="J108" s="19">
        <f>I108*0.25*0.5</f>
        <v>20.631250000000001</v>
      </c>
    </row>
    <row r="109" spans="1:13" ht="13.5" x14ac:dyDescent="0.2">
      <c r="A109" s="111"/>
      <c r="B109" s="112" t="s">
        <v>418</v>
      </c>
      <c r="C109" s="113" t="s">
        <v>334</v>
      </c>
      <c r="D109" s="77">
        <v>12.72</v>
      </c>
      <c r="E109" s="31"/>
      <c r="F109" s="46"/>
      <c r="G109" s="47">
        <f t="shared" si="10"/>
        <v>0</v>
      </c>
      <c r="I109" s="19">
        <f>1.875*8+1.8*5+2.925*7+2.95*7+2.925*7+2.95*7+0.9*6+2.95*3+5.825+0.975+2.575+2.5+4*10+2.55*2+3.975*2+3.975*5+4.025+2.6</f>
        <v>211.92499999999998</v>
      </c>
      <c r="J109" s="19">
        <f>I109*0.2*0.3</f>
        <v>12.715499999999999</v>
      </c>
    </row>
    <row r="110" spans="1:13" ht="13.5" x14ac:dyDescent="0.2">
      <c r="A110" s="111"/>
      <c r="B110" s="112" t="s">
        <v>417</v>
      </c>
      <c r="C110" s="113" t="s">
        <v>334</v>
      </c>
      <c r="D110" s="77">
        <v>2.93</v>
      </c>
      <c r="E110" s="31"/>
      <c r="F110" s="46"/>
      <c r="G110" s="47">
        <f t="shared" ref="G110:G112" si="11">(D110*E110)+(D110*F110)</f>
        <v>0</v>
      </c>
      <c r="I110" s="19">
        <f>2.6*9</f>
        <v>23.400000000000002</v>
      </c>
      <c r="J110" s="19">
        <f>I110*0.25*0.5</f>
        <v>2.9250000000000003</v>
      </c>
    </row>
    <row r="111" spans="1:13" x14ac:dyDescent="0.2">
      <c r="A111" s="114" t="s">
        <v>10</v>
      </c>
      <c r="B111" s="115" t="s">
        <v>256</v>
      </c>
      <c r="C111" s="116"/>
      <c r="D111" s="117"/>
      <c r="E111" s="118"/>
      <c r="F111" s="46"/>
      <c r="G111" s="47">
        <f t="shared" si="11"/>
        <v>0</v>
      </c>
    </row>
    <row r="112" spans="1:13" ht="13.5" x14ac:dyDescent="0.2">
      <c r="A112" s="111"/>
      <c r="B112" s="112" t="s">
        <v>257</v>
      </c>
      <c r="C112" s="113" t="s">
        <v>334</v>
      </c>
      <c r="D112" s="77">
        <v>106.27</v>
      </c>
      <c r="E112" s="31"/>
      <c r="F112" s="46"/>
      <c r="G112" s="47">
        <f t="shared" si="11"/>
        <v>0</v>
      </c>
      <c r="I112" s="19">
        <v>726.9</v>
      </c>
      <c r="J112" s="19">
        <f>3.9*2.6+5.825*1.437</f>
        <v>18.510525000000001</v>
      </c>
      <c r="K112" s="19">
        <f>I112-J112</f>
        <v>708.38947499999995</v>
      </c>
      <c r="L112" s="19">
        <f>K112*0.15</f>
        <v>106.25842124999998</v>
      </c>
    </row>
    <row r="113" spans="1:13" x14ac:dyDescent="0.2">
      <c r="A113" s="114" t="s">
        <v>15</v>
      </c>
      <c r="B113" s="115" t="s">
        <v>159</v>
      </c>
      <c r="C113" s="116"/>
      <c r="D113" s="117"/>
      <c r="E113" s="118"/>
      <c r="F113" s="119"/>
      <c r="G113" s="120"/>
    </row>
    <row r="114" spans="1:13" ht="13.5" x14ac:dyDescent="0.2">
      <c r="A114" s="111"/>
      <c r="B114" s="112" t="s">
        <v>420</v>
      </c>
      <c r="C114" s="113" t="s">
        <v>334</v>
      </c>
      <c r="D114" s="77">
        <v>15.98</v>
      </c>
      <c r="E114" s="31"/>
      <c r="F114" s="46"/>
      <c r="G114" s="47">
        <f t="shared" ref="G114:G116" si="12">(D114*E114)+(D114*F114)</f>
        <v>0</v>
      </c>
      <c r="I114" s="19">
        <f>0.45*0.25*40*3.55</f>
        <v>15.975</v>
      </c>
    </row>
    <row r="115" spans="1:13" ht="13.5" x14ac:dyDescent="0.2">
      <c r="A115" s="111"/>
      <c r="B115" s="112" t="s">
        <v>421</v>
      </c>
      <c r="C115" s="113" t="s">
        <v>334</v>
      </c>
      <c r="D115" s="77">
        <v>6.22</v>
      </c>
      <c r="E115" s="31"/>
      <c r="F115" s="46"/>
      <c r="G115" s="47">
        <f t="shared" si="12"/>
        <v>0</v>
      </c>
      <c r="I115" s="19">
        <f>0.5*0.25*14*3.55</f>
        <v>6.2124999999999995</v>
      </c>
    </row>
    <row r="116" spans="1:13" ht="13.5" x14ac:dyDescent="0.2">
      <c r="A116" s="111"/>
      <c r="B116" s="112" t="s">
        <v>431</v>
      </c>
      <c r="C116" s="113" t="s">
        <v>334</v>
      </c>
      <c r="D116" s="77">
        <v>2</v>
      </c>
      <c r="E116" s="31"/>
      <c r="F116" s="46"/>
      <c r="G116" s="47">
        <f t="shared" si="12"/>
        <v>0</v>
      </c>
      <c r="I116" s="19">
        <f>0.25*0.25*9*3.55</f>
        <v>1.996875</v>
      </c>
    </row>
    <row r="117" spans="1:13" x14ac:dyDescent="0.2">
      <c r="A117" s="114" t="s">
        <v>43</v>
      </c>
      <c r="B117" s="115" t="s">
        <v>184</v>
      </c>
      <c r="C117" s="116"/>
      <c r="D117" s="117"/>
      <c r="E117" s="118"/>
      <c r="F117" s="46"/>
      <c r="G117" s="47">
        <f t="shared" ref="G117:G118" si="13">(D117*E117)+(D117*F117)</f>
        <v>0</v>
      </c>
    </row>
    <row r="118" spans="1:13" ht="13.5" x14ac:dyDescent="0.2">
      <c r="A118" s="111"/>
      <c r="B118" s="112" t="s">
        <v>254</v>
      </c>
      <c r="C118" s="113" t="s">
        <v>334</v>
      </c>
      <c r="D118" s="77">
        <v>2.6</v>
      </c>
      <c r="E118" s="31"/>
      <c r="F118" s="46"/>
      <c r="G118" s="47">
        <f t="shared" si="13"/>
        <v>0</v>
      </c>
      <c r="I118" s="19">
        <f>19.4*0.56</f>
        <v>10.864000000000001</v>
      </c>
      <c r="J118" s="19">
        <f>214.37+I118</f>
        <v>225.23400000000001</v>
      </c>
      <c r="K118" s="19">
        <f>J118*0.1</f>
        <v>22.523400000000002</v>
      </c>
    </row>
    <row r="119" spans="1:13" x14ac:dyDescent="0.2">
      <c r="A119" s="111"/>
      <c r="B119" s="112"/>
      <c r="C119" s="113"/>
      <c r="D119" s="77"/>
      <c r="E119" s="31"/>
      <c r="F119" s="46"/>
      <c r="G119" s="47"/>
    </row>
    <row r="120" spans="1:13" x14ac:dyDescent="0.2">
      <c r="A120" s="111"/>
      <c r="B120" s="112"/>
      <c r="C120" s="113"/>
      <c r="D120" s="77"/>
      <c r="E120" s="31"/>
      <c r="F120" s="46"/>
      <c r="G120" s="47"/>
    </row>
    <row r="121" spans="1:13" x14ac:dyDescent="0.2">
      <c r="A121" s="102" t="s">
        <v>51</v>
      </c>
      <c r="B121" s="103" t="s">
        <v>60</v>
      </c>
      <c r="C121" s="104"/>
      <c r="D121" s="105"/>
      <c r="E121" s="106"/>
      <c r="F121" s="107"/>
      <c r="G121" s="108"/>
    </row>
    <row r="122" spans="1:13" x14ac:dyDescent="0.2">
      <c r="A122" s="114" t="s">
        <v>146</v>
      </c>
      <c r="B122" s="115" t="s">
        <v>255</v>
      </c>
      <c r="C122" s="116"/>
      <c r="D122" s="117"/>
      <c r="E122" s="118"/>
      <c r="F122" s="119"/>
      <c r="G122" s="120"/>
    </row>
    <row r="123" spans="1:13" ht="13.5" x14ac:dyDescent="0.2">
      <c r="A123" s="111"/>
      <c r="B123" s="112" t="s">
        <v>416</v>
      </c>
      <c r="C123" s="113" t="s">
        <v>334</v>
      </c>
      <c r="D123" s="77">
        <v>5.85</v>
      </c>
      <c r="E123" s="31"/>
      <c r="F123" s="46"/>
      <c r="G123" s="47">
        <f t="shared" ref="G123:G125" si="14">(D123*E123)+(D123*F123)</f>
        <v>0</v>
      </c>
      <c r="I123" s="19">
        <f>7.8*6</f>
        <v>46.8</v>
      </c>
      <c r="J123" s="19">
        <f>I123*0.25*0.5</f>
        <v>5.85</v>
      </c>
    </row>
    <row r="124" spans="1:13" ht="13.5" x14ac:dyDescent="0.2">
      <c r="A124" s="111"/>
      <c r="B124" s="112" t="s">
        <v>418</v>
      </c>
      <c r="C124" s="113" t="s">
        <v>334</v>
      </c>
      <c r="D124" s="77">
        <v>11.654</v>
      </c>
      <c r="E124" s="31"/>
      <c r="F124" s="46"/>
      <c r="G124" s="47">
        <f t="shared" si="14"/>
        <v>0</v>
      </c>
      <c r="I124" s="19">
        <f>1.875*3+1.8*2+2.925*4+2.95*4+2.925*4+2.95*4+0.9*3+2.95*2+0.975+2.575+2.5+2.6+4*6+4.025+2.6+3.975*5+2.6+3.975*4+4.025*2+2.6</f>
        <v>153.125</v>
      </c>
      <c r="J124" s="19">
        <f>I124*0.2*0.3</f>
        <v>9.1875</v>
      </c>
      <c r="K124" s="19">
        <f>2.575+4*6+3.975*2+1.875*3+1.8+2.925+2.95+2.925+0.9+3.975*2+2.6+2.6</f>
        <v>64.8</v>
      </c>
      <c r="L124" s="19">
        <f>K124*0.15*0.25</f>
        <v>2.4299999999999997</v>
      </c>
      <c r="M124" s="19">
        <f>L124+J124</f>
        <v>11.6175</v>
      </c>
    </row>
    <row r="125" spans="1:13" ht="13.5" x14ac:dyDescent="0.2">
      <c r="A125" s="111"/>
      <c r="B125" s="112" t="s">
        <v>417</v>
      </c>
      <c r="C125" s="113" t="s">
        <v>334</v>
      </c>
      <c r="D125" s="77">
        <v>9.2449999999999992</v>
      </c>
      <c r="E125" s="31"/>
      <c r="F125" s="46"/>
      <c r="G125" s="47">
        <f t="shared" si="14"/>
        <v>0</v>
      </c>
      <c r="I125" s="19">
        <f>18.4+19.6+13.35+2.6*4</f>
        <v>61.75</v>
      </c>
      <c r="J125" s="19">
        <f>I125*0.25*0.5</f>
        <v>7.71875</v>
      </c>
      <c r="K125" s="19">
        <f>1.875*5*0.65*0.25</f>
        <v>1.5234375</v>
      </c>
      <c r="L125" s="19">
        <f>K125+J125</f>
        <v>9.2421875</v>
      </c>
    </row>
    <row r="126" spans="1:13" ht="13.5" x14ac:dyDescent="0.2">
      <c r="A126" s="111"/>
      <c r="B126" s="112" t="s">
        <v>419</v>
      </c>
      <c r="C126" s="113" t="s">
        <v>334</v>
      </c>
      <c r="D126" s="77">
        <v>1.76</v>
      </c>
      <c r="E126" s="31"/>
      <c r="F126" s="46"/>
      <c r="G126" s="47">
        <f t="shared" ref="G126" si="15">(D126*E126)+(D126*F126)</f>
        <v>0</v>
      </c>
      <c r="I126" s="19">
        <f>1.2*4+0.95*5+0.9*5</f>
        <v>14.05</v>
      </c>
      <c r="J126" s="19">
        <f>I126*0.25*0.5</f>
        <v>1.7562500000000001</v>
      </c>
    </row>
    <row r="127" spans="1:13" x14ac:dyDescent="0.2">
      <c r="A127" s="114" t="s">
        <v>57</v>
      </c>
      <c r="B127" s="115" t="s">
        <v>256</v>
      </c>
      <c r="C127" s="116"/>
      <c r="D127" s="117"/>
      <c r="E127" s="118"/>
      <c r="F127" s="46"/>
      <c r="G127" s="47">
        <f t="shared" ref="G127:G128" si="16">(D127*E127)+(D127*F127)</f>
        <v>0</v>
      </c>
    </row>
    <row r="128" spans="1:13" ht="13.5" x14ac:dyDescent="0.2">
      <c r="A128" s="111"/>
      <c r="B128" s="112" t="s">
        <v>257</v>
      </c>
      <c r="C128" s="113" t="s">
        <v>334</v>
      </c>
      <c r="D128" s="77">
        <v>37.21</v>
      </c>
      <c r="E128" s="31"/>
      <c r="F128" s="46"/>
      <c r="G128" s="47">
        <f t="shared" si="16"/>
        <v>0</v>
      </c>
      <c r="I128" s="19">
        <f>266.54</f>
        <v>266.54000000000002</v>
      </c>
      <c r="J128" s="19">
        <f>3.9*2.6+5.825*1.437</f>
        <v>18.510525000000001</v>
      </c>
      <c r="K128" s="19">
        <f>I128-J128</f>
        <v>248.02947500000002</v>
      </c>
      <c r="L128" s="19">
        <f>K128*0.15</f>
        <v>37.204421250000003</v>
      </c>
    </row>
    <row r="129" spans="1:10" x14ac:dyDescent="0.2">
      <c r="A129" s="114" t="s">
        <v>61</v>
      </c>
      <c r="B129" s="115" t="s">
        <v>159</v>
      </c>
      <c r="C129" s="116"/>
      <c r="D129" s="117"/>
      <c r="E129" s="118"/>
      <c r="F129" s="119"/>
      <c r="G129" s="120"/>
    </row>
    <row r="130" spans="1:10" ht="13.5" x14ac:dyDescent="0.2">
      <c r="A130" s="111"/>
      <c r="B130" s="112" t="s">
        <v>412</v>
      </c>
      <c r="C130" s="113" t="s">
        <v>334</v>
      </c>
      <c r="D130" s="77">
        <v>15.75</v>
      </c>
      <c r="E130" s="31"/>
      <c r="F130" s="46"/>
      <c r="G130" s="47">
        <f t="shared" ref="G130:G133" si="17">(D130*E130)+(D130*F130)</f>
        <v>0</v>
      </c>
      <c r="I130" s="19">
        <f>0.45*0.25*40*3.5</f>
        <v>15.75</v>
      </c>
    </row>
    <row r="131" spans="1:10" ht="13.5" x14ac:dyDescent="0.2">
      <c r="A131" s="111"/>
      <c r="B131" s="112" t="s">
        <v>430</v>
      </c>
      <c r="C131" s="113" t="s">
        <v>334</v>
      </c>
      <c r="D131" s="77">
        <v>6.125</v>
      </c>
      <c r="E131" s="31"/>
      <c r="F131" s="46"/>
      <c r="G131" s="47">
        <f t="shared" si="17"/>
        <v>0</v>
      </c>
      <c r="I131" s="19">
        <f>0.5*0.25*14*3.5</f>
        <v>6.125</v>
      </c>
    </row>
    <row r="132" spans="1:10" x14ac:dyDescent="0.2">
      <c r="A132" s="114" t="s">
        <v>90</v>
      </c>
      <c r="B132" s="115" t="s">
        <v>264</v>
      </c>
      <c r="C132" s="116"/>
      <c r="D132" s="117"/>
      <c r="E132" s="118"/>
      <c r="F132" s="46"/>
      <c r="G132" s="47">
        <f t="shared" si="17"/>
        <v>0</v>
      </c>
    </row>
    <row r="133" spans="1:10" ht="24" x14ac:dyDescent="0.2">
      <c r="A133" s="111"/>
      <c r="B133" s="112" t="s">
        <v>451</v>
      </c>
      <c r="C133" s="113" t="s">
        <v>334</v>
      </c>
      <c r="D133" s="77">
        <v>5</v>
      </c>
      <c r="E133" s="31"/>
      <c r="F133" s="46"/>
      <c r="G133" s="47">
        <f t="shared" si="17"/>
        <v>0</v>
      </c>
      <c r="I133" s="19">
        <f>18.25+13.5*2+1.2*2</f>
        <v>47.65</v>
      </c>
      <c r="J133" s="19">
        <f>I133*1.05*0.1</f>
        <v>5.0032500000000004</v>
      </c>
    </row>
    <row r="134" spans="1:10" x14ac:dyDescent="0.2">
      <c r="A134" s="111"/>
      <c r="B134" s="112"/>
      <c r="C134" s="113"/>
      <c r="D134" s="77"/>
      <c r="E134" s="31"/>
      <c r="F134" s="46"/>
      <c r="G134" s="47"/>
    </row>
    <row r="135" spans="1:10" x14ac:dyDescent="0.2">
      <c r="A135" s="111"/>
      <c r="B135" s="112"/>
      <c r="C135" s="113"/>
      <c r="D135" s="77"/>
      <c r="E135" s="31"/>
      <c r="F135" s="46"/>
      <c r="G135" s="47"/>
    </row>
    <row r="136" spans="1:10" x14ac:dyDescent="0.2">
      <c r="A136" s="111"/>
      <c r="B136" s="112"/>
      <c r="C136" s="113"/>
      <c r="D136" s="77"/>
      <c r="E136" s="31"/>
      <c r="F136" s="46"/>
      <c r="G136" s="47"/>
    </row>
    <row r="137" spans="1:10" x14ac:dyDescent="0.2">
      <c r="A137" s="111"/>
      <c r="B137" s="112"/>
      <c r="C137" s="113"/>
      <c r="D137" s="77"/>
      <c r="E137" s="31"/>
      <c r="F137" s="46"/>
      <c r="G137" s="47"/>
    </row>
    <row r="138" spans="1:10" x14ac:dyDescent="0.2">
      <c r="A138" s="102" t="s">
        <v>142</v>
      </c>
      <c r="B138" s="103" t="s">
        <v>239</v>
      </c>
      <c r="C138" s="104"/>
      <c r="D138" s="105"/>
      <c r="E138" s="106"/>
      <c r="F138" s="107"/>
      <c r="G138" s="108"/>
    </row>
    <row r="139" spans="1:10" x14ac:dyDescent="0.2">
      <c r="A139" s="114" t="s">
        <v>93</v>
      </c>
      <c r="B139" s="115" t="s">
        <v>250</v>
      </c>
      <c r="C139" s="116"/>
      <c r="D139" s="117"/>
      <c r="E139" s="118"/>
      <c r="F139" s="119"/>
      <c r="G139" s="120"/>
    </row>
    <row r="140" spans="1:10" ht="13.5" x14ac:dyDescent="0.2">
      <c r="A140" s="111"/>
      <c r="B140" s="112" t="s">
        <v>426</v>
      </c>
      <c r="C140" s="113" t="s">
        <v>334</v>
      </c>
      <c r="D140" s="77">
        <v>20.61</v>
      </c>
      <c r="E140" s="31"/>
      <c r="F140" s="46"/>
      <c r="G140" s="47">
        <f t="shared" ref="G140:G142" si="18">(D140*E140)+(D140*F140)</f>
        <v>0</v>
      </c>
      <c r="I140" s="19">
        <f>15.7*7</f>
        <v>109.89999999999999</v>
      </c>
      <c r="J140" s="19">
        <f>I140*0.25*0.75</f>
        <v>20.606249999999999</v>
      </c>
    </row>
    <row r="141" spans="1:10" ht="13.5" x14ac:dyDescent="0.2">
      <c r="A141" s="111"/>
      <c r="B141" s="112" t="s">
        <v>425</v>
      </c>
      <c r="C141" s="113" t="s">
        <v>334</v>
      </c>
      <c r="D141" s="77">
        <v>4.68</v>
      </c>
      <c r="E141" s="31"/>
      <c r="F141" s="46"/>
      <c r="G141" s="47">
        <f t="shared" si="18"/>
        <v>0</v>
      </c>
      <c r="I141" s="19">
        <f>7.8*6</f>
        <v>46.8</v>
      </c>
      <c r="J141" s="19">
        <f>I141*0.2*0.5</f>
        <v>4.68</v>
      </c>
    </row>
    <row r="142" spans="1:10" ht="13.5" x14ac:dyDescent="0.2">
      <c r="A142" s="111"/>
      <c r="B142" s="112" t="s">
        <v>424</v>
      </c>
      <c r="C142" s="113" t="s">
        <v>334</v>
      </c>
      <c r="D142" s="77">
        <v>9.0500000000000007</v>
      </c>
      <c r="E142" s="31"/>
      <c r="F142" s="46"/>
      <c r="G142" s="47">
        <f t="shared" si="18"/>
        <v>0</v>
      </c>
      <c r="I142" s="19">
        <f>2.945*2+1.85+2.925*6+2.95*6+2.5+0.95*2+3.975*5*2+2.6*2+4.025*2</f>
        <v>100.39</v>
      </c>
      <c r="J142" s="19">
        <f>I142*0.2*0.45</f>
        <v>9.0351000000000017</v>
      </c>
    </row>
    <row r="143" spans="1:10" ht="13.5" x14ac:dyDescent="0.2">
      <c r="A143" s="111"/>
      <c r="B143" s="112" t="s">
        <v>423</v>
      </c>
      <c r="C143" s="113" t="s">
        <v>334</v>
      </c>
      <c r="D143" s="77">
        <v>1.6</v>
      </c>
      <c r="E143" s="31"/>
      <c r="F143" s="46"/>
      <c r="G143" s="47">
        <f t="shared" ref="G143" si="19">(D143*E143)+(D143*F143)</f>
        <v>0</v>
      </c>
      <c r="I143" s="19">
        <f>2.6*6</f>
        <v>15.600000000000001</v>
      </c>
      <c r="J143" s="19">
        <f t="shared" ref="J143" si="20">I143*0.2*0.5</f>
        <v>1.5600000000000003</v>
      </c>
    </row>
    <row r="144" spans="1:10" x14ac:dyDescent="0.2">
      <c r="A144" s="114" t="s">
        <v>126</v>
      </c>
      <c r="B144" s="115" t="s">
        <v>427</v>
      </c>
      <c r="C144" s="116"/>
      <c r="D144" s="117"/>
      <c r="E144" s="118"/>
      <c r="F144" s="46"/>
      <c r="G144" s="47">
        <f t="shared" ref="G144:G145" si="21">(D144*E144)+(D144*F144)</f>
        <v>0</v>
      </c>
    </row>
    <row r="145" spans="1:14" ht="13.5" x14ac:dyDescent="0.2">
      <c r="A145" s="111"/>
      <c r="B145" s="112" t="s">
        <v>257</v>
      </c>
      <c r="C145" s="113" t="s">
        <v>334</v>
      </c>
      <c r="D145" s="77">
        <v>6</v>
      </c>
      <c r="E145" s="31"/>
      <c r="F145" s="46"/>
      <c r="G145" s="47">
        <f t="shared" si="21"/>
        <v>0</v>
      </c>
      <c r="I145" s="19">
        <f>3.05*16.7*0.15</f>
        <v>7.6402499999999991</v>
      </c>
      <c r="J145" s="19">
        <f>16.7*0.2*0.15*2</f>
        <v>1.002</v>
      </c>
      <c r="K145" s="19">
        <f>3.05*0.2*0.15*7</f>
        <v>0.64049999999999996</v>
      </c>
      <c r="L145" s="19">
        <f>SUM(J145:K145)</f>
        <v>1.6425000000000001</v>
      </c>
      <c r="M145" s="19">
        <f>I145-L145</f>
        <v>5.997749999999999</v>
      </c>
    </row>
    <row r="146" spans="1:14" x14ac:dyDescent="0.2">
      <c r="A146" s="114" t="s">
        <v>127</v>
      </c>
      <c r="B146" s="115" t="s">
        <v>264</v>
      </c>
      <c r="C146" s="116"/>
      <c r="D146" s="117"/>
      <c r="E146" s="118"/>
      <c r="F146" s="46"/>
      <c r="G146" s="47">
        <f t="shared" ref="G146:G147" si="22">(D146*E146)+(D146*F146)</f>
        <v>0</v>
      </c>
    </row>
    <row r="147" spans="1:14" ht="24" x14ac:dyDescent="0.2">
      <c r="A147" s="111"/>
      <c r="B147" s="112" t="s">
        <v>438</v>
      </c>
      <c r="C147" s="113" t="s">
        <v>334</v>
      </c>
      <c r="D147" s="77">
        <v>4.75</v>
      </c>
      <c r="E147" s="31"/>
      <c r="F147" s="46"/>
      <c r="G147" s="47">
        <f t="shared" si="22"/>
        <v>0</v>
      </c>
      <c r="I147" s="19">
        <f>16.7*2+3*2</f>
        <v>39.4</v>
      </c>
      <c r="J147" s="19">
        <f>I147*0.2*0.6</f>
        <v>4.7279999999999998</v>
      </c>
    </row>
    <row r="148" spans="1:14" x14ac:dyDescent="0.2">
      <c r="A148" s="97" t="s">
        <v>146</v>
      </c>
      <c r="B148" s="127" t="s">
        <v>12</v>
      </c>
      <c r="C148" s="101"/>
      <c r="D148" s="99"/>
      <c r="E148" s="100"/>
      <c r="F148" s="99"/>
      <c r="G148" s="128"/>
    </row>
    <row r="149" spans="1:14" ht="25.5" customHeight="1" x14ac:dyDescent="0.2">
      <c r="A149" s="27"/>
      <c r="B149" s="54" t="s">
        <v>124</v>
      </c>
      <c r="C149" s="54"/>
      <c r="D149" s="54"/>
      <c r="E149" s="54"/>
      <c r="F149" s="54"/>
      <c r="G149" s="129"/>
    </row>
    <row r="150" spans="1:14" ht="76.5" customHeight="1" x14ac:dyDescent="0.2">
      <c r="A150" s="27"/>
      <c r="B150" s="54" t="s">
        <v>62</v>
      </c>
      <c r="C150" s="54"/>
      <c r="D150" s="54"/>
      <c r="E150" s="54"/>
      <c r="F150" s="54"/>
      <c r="G150" s="129"/>
    </row>
    <row r="151" spans="1:14" ht="52.5" customHeight="1" x14ac:dyDescent="0.2">
      <c r="A151" s="27"/>
      <c r="B151" s="54" t="s">
        <v>63</v>
      </c>
      <c r="C151" s="54"/>
      <c r="D151" s="54"/>
      <c r="E151" s="54"/>
      <c r="F151" s="54"/>
      <c r="G151" s="129"/>
    </row>
    <row r="152" spans="1:14" ht="60.75" customHeight="1" x14ac:dyDescent="0.2">
      <c r="A152" s="27"/>
      <c r="B152" s="49" t="s">
        <v>64</v>
      </c>
      <c r="C152" s="49"/>
      <c r="D152" s="49"/>
      <c r="E152" s="49"/>
      <c r="F152" s="49"/>
      <c r="G152" s="130"/>
    </row>
    <row r="153" spans="1:14" x14ac:dyDescent="0.2">
      <c r="A153" s="111"/>
      <c r="B153" s="84"/>
      <c r="C153" s="131"/>
      <c r="D153" s="44"/>
      <c r="E153" s="31"/>
      <c r="F153" s="46"/>
      <c r="G153" s="47"/>
      <c r="N153" s="110"/>
    </row>
    <row r="154" spans="1:14" x14ac:dyDescent="0.2">
      <c r="A154" s="102" t="s">
        <v>531</v>
      </c>
      <c r="B154" s="103" t="s">
        <v>56</v>
      </c>
      <c r="C154" s="104"/>
      <c r="D154" s="105"/>
      <c r="E154" s="106"/>
      <c r="F154" s="107"/>
      <c r="G154" s="108"/>
    </row>
    <row r="155" spans="1:14" x14ac:dyDescent="0.2">
      <c r="A155" s="114" t="s">
        <v>532</v>
      </c>
      <c r="B155" s="115" t="s">
        <v>159</v>
      </c>
      <c r="C155" s="116"/>
      <c r="D155" s="117"/>
      <c r="E155" s="118"/>
      <c r="F155" s="119"/>
      <c r="G155" s="120"/>
    </row>
    <row r="156" spans="1:14" ht="13.5" x14ac:dyDescent="0.2">
      <c r="A156" s="111"/>
      <c r="B156" s="112" t="s">
        <v>528</v>
      </c>
      <c r="C156" s="131" t="s">
        <v>335</v>
      </c>
      <c r="D156" s="77">
        <v>113.82</v>
      </c>
      <c r="E156" s="31"/>
      <c r="F156" s="46"/>
      <c r="G156" s="47">
        <f t="shared" ref="G156:G158" si="23">(D156*E156)+(D156*F156)</f>
        <v>0</v>
      </c>
      <c r="I156" s="19">
        <f>9*(3.85-1)*2*(0.45+0.25)</f>
        <v>35.910000000000004</v>
      </c>
      <c r="J156" s="19">
        <f>2*(3.85-1.4)*2*(0.45+0.25)</f>
        <v>6.86</v>
      </c>
      <c r="K156" s="19">
        <f>29*(3.85-2.1)*2*(0.45+0.25)</f>
        <v>71.05</v>
      </c>
      <c r="L156" s="19">
        <f>SUM(I156:K156)</f>
        <v>113.82</v>
      </c>
    </row>
    <row r="157" spans="1:14" ht="13.5" x14ac:dyDescent="0.2">
      <c r="A157" s="111"/>
      <c r="B157" s="112" t="s">
        <v>529</v>
      </c>
      <c r="C157" s="131" t="s">
        <v>335</v>
      </c>
      <c r="D157" s="77">
        <v>36.75</v>
      </c>
      <c r="E157" s="31"/>
      <c r="F157" s="46"/>
      <c r="G157" s="47">
        <f t="shared" si="23"/>
        <v>0</v>
      </c>
      <c r="I157" s="19">
        <f>2*(0.5+0.25)*14*(3.85-2.1)</f>
        <v>36.75</v>
      </c>
    </row>
    <row r="158" spans="1:14" ht="13.5" x14ac:dyDescent="0.2">
      <c r="A158" s="111"/>
      <c r="B158" s="112" t="s">
        <v>530</v>
      </c>
      <c r="C158" s="131" t="s">
        <v>335</v>
      </c>
      <c r="D158" s="77">
        <v>15.75</v>
      </c>
      <c r="E158" s="31"/>
      <c r="F158" s="46"/>
      <c r="G158" s="47">
        <f t="shared" si="23"/>
        <v>0</v>
      </c>
      <c r="I158" s="19">
        <f>2*(0.25+0.25)*9*(3.85-2.1)</f>
        <v>15.75</v>
      </c>
    </row>
    <row r="159" spans="1:14" x14ac:dyDescent="0.2">
      <c r="A159" s="114" t="s">
        <v>533</v>
      </c>
      <c r="B159" s="115" t="s">
        <v>184</v>
      </c>
      <c r="C159" s="116"/>
      <c r="D159" s="117"/>
      <c r="E159" s="118"/>
      <c r="F159" s="46"/>
      <c r="G159" s="47">
        <f t="shared" ref="G159:G164" si="24">(D159*E159)+(D159*F159)</f>
        <v>0</v>
      </c>
    </row>
    <row r="160" spans="1:14" ht="13.5" x14ac:dyDescent="0.2">
      <c r="A160" s="111"/>
      <c r="B160" s="112" t="s">
        <v>516</v>
      </c>
      <c r="C160" s="131" t="s">
        <v>335</v>
      </c>
      <c r="D160" s="77">
        <v>24.9</v>
      </c>
      <c r="E160" s="31"/>
      <c r="F160" s="46"/>
      <c r="G160" s="47">
        <f t="shared" si="24"/>
        <v>0</v>
      </c>
      <c r="I160" s="19">
        <f>3.7*1.7*2</f>
        <v>12.58</v>
      </c>
      <c r="J160" s="19">
        <f>3.1*1.3</f>
        <v>4.03</v>
      </c>
      <c r="K160" s="19">
        <f>1.4*0.175*20</f>
        <v>4.8999999999999995</v>
      </c>
      <c r="L160" s="19">
        <f>3.2*1.05</f>
        <v>3.3600000000000003</v>
      </c>
      <c r="M160" s="19">
        <f>SUM(I160:L160)</f>
        <v>24.869999999999997</v>
      </c>
    </row>
    <row r="161" spans="1:13" ht="13.5" x14ac:dyDescent="0.2">
      <c r="A161" s="111"/>
      <c r="B161" s="112" t="s">
        <v>517</v>
      </c>
      <c r="C161" s="131" t="s">
        <v>335</v>
      </c>
      <c r="D161" s="77">
        <v>22</v>
      </c>
      <c r="E161" s="31"/>
      <c r="F161" s="46"/>
      <c r="G161" s="47">
        <f t="shared" ref="G161" si="25">(D161*E161)+(D161*F161)</f>
        <v>0</v>
      </c>
      <c r="I161" s="19">
        <f>3.35*2+0.9</f>
        <v>7.6000000000000005</v>
      </c>
      <c r="J161" s="19">
        <f>I161*1.8</f>
        <v>13.680000000000001</v>
      </c>
      <c r="K161" s="19">
        <f>0.175*1.5*18</f>
        <v>4.7249999999999996</v>
      </c>
      <c r="L161" s="19">
        <f>3.4*1.05</f>
        <v>3.57</v>
      </c>
      <c r="M161" s="19">
        <f>SUM(J161:L161)</f>
        <v>21.975000000000001</v>
      </c>
    </row>
    <row r="162" spans="1:13" x14ac:dyDescent="0.2">
      <c r="A162" s="111"/>
      <c r="B162" s="112"/>
      <c r="C162" s="131"/>
      <c r="D162" s="77"/>
      <c r="E162" s="31"/>
      <c r="F162" s="46"/>
      <c r="G162" s="47"/>
    </row>
    <row r="163" spans="1:13" x14ac:dyDescent="0.2">
      <c r="A163" s="114" t="s">
        <v>534</v>
      </c>
      <c r="B163" s="115" t="s">
        <v>186</v>
      </c>
      <c r="C163" s="116"/>
      <c r="D163" s="117"/>
      <c r="E163" s="118"/>
      <c r="F163" s="46"/>
      <c r="G163" s="47">
        <f t="shared" si="24"/>
        <v>0</v>
      </c>
    </row>
    <row r="164" spans="1:13" ht="13.5" x14ac:dyDescent="0.2">
      <c r="A164" s="111"/>
      <c r="B164" s="112" t="s">
        <v>253</v>
      </c>
      <c r="C164" s="131" t="s">
        <v>335</v>
      </c>
      <c r="D164" s="77">
        <v>11.8</v>
      </c>
      <c r="E164" s="31"/>
      <c r="F164" s="46"/>
      <c r="G164" s="47">
        <f t="shared" si="24"/>
        <v>0</v>
      </c>
      <c r="I164" s="19">
        <v>117.25</v>
      </c>
      <c r="J164" s="19">
        <f>I164*0.1</f>
        <v>11.725000000000001</v>
      </c>
    </row>
    <row r="165" spans="1:13" x14ac:dyDescent="0.2">
      <c r="A165" s="111"/>
      <c r="B165" s="112"/>
      <c r="C165" s="131"/>
      <c r="D165" s="77"/>
      <c r="E165" s="31"/>
      <c r="F165" s="46"/>
      <c r="G165" s="47"/>
    </row>
    <row r="166" spans="1:13" x14ac:dyDescent="0.2">
      <c r="A166" s="102" t="s">
        <v>141</v>
      </c>
      <c r="B166" s="103" t="s">
        <v>58</v>
      </c>
      <c r="C166" s="104"/>
      <c r="D166" s="105"/>
      <c r="E166" s="106"/>
      <c r="F166" s="107"/>
      <c r="G166" s="108"/>
    </row>
    <row r="167" spans="1:13" x14ac:dyDescent="0.2">
      <c r="A167" s="114" t="s">
        <v>145</v>
      </c>
      <c r="B167" s="115" t="s">
        <v>255</v>
      </c>
      <c r="C167" s="116"/>
      <c r="D167" s="117"/>
      <c r="E167" s="118"/>
      <c r="F167" s="119"/>
      <c r="G167" s="120"/>
    </row>
    <row r="168" spans="1:13" ht="13.5" x14ac:dyDescent="0.2">
      <c r="A168" s="111"/>
      <c r="B168" s="112" t="s">
        <v>416</v>
      </c>
      <c r="C168" s="131" t="s">
        <v>335</v>
      </c>
      <c r="D168" s="77">
        <v>231.1</v>
      </c>
      <c r="E168" s="31"/>
      <c r="F168" s="46"/>
      <c r="G168" s="47">
        <f t="shared" ref="G168:G170" si="26">(D168*E168)+(D168*F168)</f>
        <v>0</v>
      </c>
      <c r="I168" s="19">
        <f>7.8*6+8.05*5+7.8*5+7.8*5</f>
        <v>165.05</v>
      </c>
      <c r="J168" s="19">
        <f>I168*1.4</f>
        <v>231.07</v>
      </c>
    </row>
    <row r="169" spans="1:13" ht="13.5" x14ac:dyDescent="0.2">
      <c r="A169" s="111"/>
      <c r="B169" s="112" t="s">
        <v>418</v>
      </c>
      <c r="C169" s="131" t="s">
        <v>335</v>
      </c>
      <c r="D169" s="77">
        <v>201.4</v>
      </c>
      <c r="E169" s="31"/>
      <c r="F169" s="46"/>
      <c r="G169" s="47">
        <f t="shared" si="26"/>
        <v>0</v>
      </c>
      <c r="I169" s="19">
        <f>1.875*8+1.8*5+2.925*7+2.95*7+2.925*7+2.95*7+0.9*6+2.95*3+5.825+0.975+2.575+2.5+4*10+2.55*2+3.975*2+3.975*5+4.025+2.6</f>
        <v>211.92499999999998</v>
      </c>
      <c r="J169" s="19">
        <f>I169*0.95</f>
        <v>201.32874999999999</v>
      </c>
    </row>
    <row r="170" spans="1:13" ht="13.5" x14ac:dyDescent="0.2">
      <c r="A170" s="111"/>
      <c r="B170" s="112" t="s">
        <v>417</v>
      </c>
      <c r="C170" s="131" t="s">
        <v>335</v>
      </c>
      <c r="D170" s="77">
        <v>31.6</v>
      </c>
      <c r="E170" s="31"/>
      <c r="F170" s="46"/>
      <c r="G170" s="47">
        <f t="shared" si="26"/>
        <v>0</v>
      </c>
      <c r="I170" s="19">
        <f>2.6*9</f>
        <v>23.400000000000002</v>
      </c>
      <c r="J170" s="19">
        <f>I170*1.35</f>
        <v>31.590000000000003</v>
      </c>
    </row>
    <row r="171" spans="1:13" x14ac:dyDescent="0.2">
      <c r="A171" s="114" t="s">
        <v>10</v>
      </c>
      <c r="B171" s="115" t="s">
        <v>256</v>
      </c>
      <c r="C171" s="116"/>
      <c r="D171" s="117"/>
      <c r="E171" s="118"/>
      <c r="F171" s="46"/>
      <c r="G171" s="47">
        <f t="shared" ref="G171:G172" si="27">(D171*E171)+(D171*F171)</f>
        <v>0</v>
      </c>
    </row>
    <row r="172" spans="1:13" ht="13.5" x14ac:dyDescent="0.2">
      <c r="A172" s="111"/>
      <c r="B172" s="112" t="s">
        <v>257</v>
      </c>
      <c r="C172" s="131" t="s">
        <v>335</v>
      </c>
      <c r="D172" s="77">
        <v>708.4</v>
      </c>
      <c r="E172" s="31"/>
      <c r="F172" s="46"/>
      <c r="G172" s="47">
        <f t="shared" si="27"/>
        <v>0</v>
      </c>
      <c r="I172" s="19">
        <v>726.9</v>
      </c>
      <c r="J172" s="19">
        <f>3.9*2.6+5.825*1.437</f>
        <v>18.510525000000001</v>
      </c>
      <c r="K172" s="19">
        <f>I172-J172</f>
        <v>708.38947499999995</v>
      </c>
    </row>
    <row r="173" spans="1:13" x14ac:dyDescent="0.2">
      <c r="A173" s="114" t="s">
        <v>15</v>
      </c>
      <c r="B173" s="115" t="s">
        <v>159</v>
      </c>
      <c r="C173" s="116"/>
      <c r="D173" s="117"/>
      <c r="E173" s="118"/>
      <c r="F173" s="119"/>
      <c r="G173" s="120"/>
    </row>
    <row r="174" spans="1:13" ht="13.5" x14ac:dyDescent="0.2">
      <c r="A174" s="111"/>
      <c r="B174" s="112" t="s">
        <v>422</v>
      </c>
      <c r="C174" s="131" t="s">
        <v>335</v>
      </c>
      <c r="D174" s="77">
        <v>198.8</v>
      </c>
      <c r="E174" s="31"/>
      <c r="F174" s="46"/>
      <c r="G174" s="47">
        <f t="shared" ref="G174:G176" si="28">(D174*E174)+(D174*F174)</f>
        <v>0</v>
      </c>
      <c r="I174" s="19">
        <f>(0.25+0.45)*2*3.55*40</f>
        <v>198.79999999999998</v>
      </c>
    </row>
    <row r="175" spans="1:13" ht="13.5" x14ac:dyDescent="0.2">
      <c r="A175" s="111"/>
      <c r="B175" s="112" t="s">
        <v>428</v>
      </c>
      <c r="C175" s="131" t="s">
        <v>335</v>
      </c>
      <c r="D175" s="77">
        <v>74.55</v>
      </c>
      <c r="E175" s="31"/>
      <c r="F175" s="46"/>
      <c r="G175" s="47">
        <f t="shared" si="28"/>
        <v>0</v>
      </c>
      <c r="I175" s="19">
        <f>(0.25+0.5)*3.55*14*2</f>
        <v>74.549999999999983</v>
      </c>
    </row>
    <row r="176" spans="1:13" ht="13.5" x14ac:dyDescent="0.2">
      <c r="A176" s="111"/>
      <c r="B176" s="112" t="s">
        <v>429</v>
      </c>
      <c r="C176" s="131" t="s">
        <v>335</v>
      </c>
      <c r="D176" s="77">
        <v>31.95</v>
      </c>
      <c r="E176" s="31"/>
      <c r="F176" s="46"/>
      <c r="G176" s="47">
        <f t="shared" si="28"/>
        <v>0</v>
      </c>
      <c r="I176" s="19">
        <f>0.25*4*3.55*9</f>
        <v>31.95</v>
      </c>
    </row>
    <row r="177" spans="1:13" x14ac:dyDescent="0.2">
      <c r="A177" s="114" t="s">
        <v>43</v>
      </c>
      <c r="B177" s="115" t="s">
        <v>184</v>
      </c>
      <c r="C177" s="116"/>
      <c r="D177" s="117"/>
      <c r="E177" s="118"/>
      <c r="F177" s="46"/>
      <c r="G177" s="47">
        <f t="shared" ref="G177:G178" si="29">(D177*E177)+(D177*F177)</f>
        <v>0</v>
      </c>
    </row>
    <row r="178" spans="1:13" ht="13.5" x14ac:dyDescent="0.2">
      <c r="A178" s="111"/>
      <c r="B178" s="112" t="s">
        <v>254</v>
      </c>
      <c r="C178" s="131" t="s">
        <v>335</v>
      </c>
      <c r="D178" s="77">
        <v>21.6</v>
      </c>
      <c r="E178" s="31"/>
      <c r="F178" s="46"/>
      <c r="G178" s="47">
        <f t="shared" si="29"/>
        <v>0</v>
      </c>
      <c r="I178" s="19">
        <f>3.7*1.7*2</f>
        <v>12.58</v>
      </c>
      <c r="J178" s="19">
        <f>3.1*1.3</f>
        <v>4.03</v>
      </c>
      <c r="K178" s="19">
        <f>1.4*0.175*20</f>
        <v>4.8999999999999995</v>
      </c>
      <c r="M178" s="19">
        <f>SUM(I178:L178)</f>
        <v>21.509999999999998</v>
      </c>
    </row>
    <row r="179" spans="1:13" x14ac:dyDescent="0.2">
      <c r="A179" s="111"/>
      <c r="B179" s="112"/>
      <c r="C179" s="131"/>
      <c r="D179" s="77"/>
      <c r="E179" s="31"/>
      <c r="F179" s="46"/>
      <c r="G179" s="47"/>
    </row>
    <row r="180" spans="1:13" x14ac:dyDescent="0.2">
      <c r="A180" s="102" t="s">
        <v>51</v>
      </c>
      <c r="B180" s="103" t="s">
        <v>60</v>
      </c>
      <c r="C180" s="104"/>
      <c r="D180" s="105"/>
      <c r="E180" s="106"/>
      <c r="F180" s="107"/>
      <c r="G180" s="108"/>
    </row>
    <row r="181" spans="1:13" x14ac:dyDescent="0.2">
      <c r="A181" s="114" t="s">
        <v>146</v>
      </c>
      <c r="B181" s="115" t="s">
        <v>255</v>
      </c>
      <c r="C181" s="116"/>
      <c r="D181" s="117"/>
      <c r="E181" s="118"/>
      <c r="F181" s="119"/>
      <c r="G181" s="120"/>
    </row>
    <row r="182" spans="1:13" ht="13.5" x14ac:dyDescent="0.2">
      <c r="A182" s="111"/>
      <c r="B182" s="112" t="s">
        <v>416</v>
      </c>
      <c r="C182" s="113" t="s">
        <v>334</v>
      </c>
      <c r="D182" s="77">
        <v>65.55</v>
      </c>
      <c r="E182" s="31"/>
      <c r="F182" s="46"/>
      <c r="G182" s="47">
        <f t="shared" ref="G182:G185" si="30">(D182*E182)+(D182*F182)</f>
        <v>0</v>
      </c>
      <c r="I182" s="19">
        <f>7.8*6</f>
        <v>46.8</v>
      </c>
      <c r="J182" s="19">
        <f>I182*1.4</f>
        <v>65.52</v>
      </c>
    </row>
    <row r="183" spans="1:13" ht="13.5" x14ac:dyDescent="0.2">
      <c r="A183" s="111"/>
      <c r="B183" s="112" t="s">
        <v>418</v>
      </c>
      <c r="C183" s="113" t="s">
        <v>334</v>
      </c>
      <c r="D183" s="77">
        <v>172.6</v>
      </c>
      <c r="E183" s="31"/>
      <c r="F183" s="46"/>
      <c r="G183" s="47">
        <f t="shared" si="30"/>
        <v>0</v>
      </c>
      <c r="I183" s="19">
        <f>1.875*3+1.8*2+2.925*4+2.95*4+2.925*4+2.95*4+0.9*3+2.95*2+0.975+2.575+2.5+2.6+4*6+4.025+2.6+3.975*5+2.6+3.975*4+4.025*2+2.6</f>
        <v>153.125</v>
      </c>
      <c r="J183" s="19">
        <f>I183*1</f>
        <v>153.125</v>
      </c>
      <c r="K183" s="19">
        <f>2.575+4*6+3.975*2+1.875*3+1.8+2.925+2.95+2.925+0.9+3.975*2+2.6+2.6</f>
        <v>64.8</v>
      </c>
      <c r="L183" s="19">
        <f>K183*0.3</f>
        <v>19.439999999999998</v>
      </c>
      <c r="M183" s="19">
        <f>L183+J183</f>
        <v>172.565</v>
      </c>
    </row>
    <row r="184" spans="1:13" ht="13.5" x14ac:dyDescent="0.2">
      <c r="A184" s="111"/>
      <c r="B184" s="112" t="s">
        <v>417</v>
      </c>
      <c r="C184" s="113" t="s">
        <v>334</v>
      </c>
      <c r="D184" s="77">
        <v>97.45</v>
      </c>
      <c r="E184" s="31"/>
      <c r="F184" s="46"/>
      <c r="G184" s="47">
        <f t="shared" si="30"/>
        <v>0</v>
      </c>
      <c r="I184" s="19">
        <f>18.4+19.6+13.35+2.6*4</f>
        <v>61.75</v>
      </c>
      <c r="J184" s="19">
        <f>I184*1.35</f>
        <v>83.362500000000011</v>
      </c>
      <c r="K184" s="19">
        <f>1.875*5*1.5</f>
        <v>14.0625</v>
      </c>
      <c r="L184" s="19">
        <f>K184+J184</f>
        <v>97.425000000000011</v>
      </c>
    </row>
    <row r="185" spans="1:13" ht="13.5" x14ac:dyDescent="0.2">
      <c r="A185" s="111"/>
      <c r="B185" s="112" t="s">
        <v>419</v>
      </c>
      <c r="C185" s="113" t="s">
        <v>334</v>
      </c>
      <c r="D185" s="77">
        <v>19</v>
      </c>
      <c r="E185" s="31"/>
      <c r="F185" s="46"/>
      <c r="G185" s="47">
        <f t="shared" si="30"/>
        <v>0</v>
      </c>
      <c r="I185" s="19">
        <f>1.2*4+0.95*5+0.9*5</f>
        <v>14.05</v>
      </c>
      <c r="J185" s="19">
        <f>I185*1.35</f>
        <v>18.967500000000001</v>
      </c>
    </row>
    <row r="186" spans="1:13" x14ac:dyDescent="0.2">
      <c r="A186" s="114" t="s">
        <v>57</v>
      </c>
      <c r="B186" s="115" t="s">
        <v>256</v>
      </c>
      <c r="C186" s="116"/>
      <c r="D186" s="117"/>
      <c r="E186" s="118"/>
      <c r="F186" s="46"/>
      <c r="G186" s="47">
        <f t="shared" ref="G186:G187" si="31">(D186*E186)+(D186*F186)</f>
        <v>0</v>
      </c>
    </row>
    <row r="187" spans="1:13" ht="13.5" x14ac:dyDescent="0.2">
      <c r="A187" s="111"/>
      <c r="B187" s="112" t="s">
        <v>257</v>
      </c>
      <c r="C187" s="131" t="s">
        <v>335</v>
      </c>
      <c r="D187" s="77">
        <v>248.05</v>
      </c>
      <c r="E187" s="31"/>
      <c r="F187" s="46"/>
      <c r="G187" s="47">
        <f t="shared" si="31"/>
        <v>0</v>
      </c>
      <c r="I187" s="19">
        <f>266.54</f>
        <v>266.54000000000002</v>
      </c>
      <c r="J187" s="19">
        <f>3.9*2.6+5.825*1.437</f>
        <v>18.510525000000001</v>
      </c>
      <c r="K187" s="19">
        <f>I187-J187</f>
        <v>248.02947500000002</v>
      </c>
    </row>
    <row r="188" spans="1:13" x14ac:dyDescent="0.2">
      <c r="A188" s="114" t="s">
        <v>61</v>
      </c>
      <c r="B188" s="115" t="s">
        <v>159</v>
      </c>
      <c r="C188" s="116"/>
      <c r="D188" s="117"/>
      <c r="E188" s="118"/>
      <c r="F188" s="119"/>
      <c r="G188" s="120"/>
    </row>
    <row r="189" spans="1:13" ht="13.5" x14ac:dyDescent="0.2">
      <c r="A189" s="111"/>
      <c r="B189" s="112" t="s">
        <v>412</v>
      </c>
      <c r="C189" s="131" t="s">
        <v>335</v>
      </c>
      <c r="D189" s="77">
        <v>196</v>
      </c>
      <c r="E189" s="31"/>
      <c r="F189" s="46"/>
      <c r="G189" s="47">
        <f t="shared" ref="G189:G191" si="32">(D189*E189)+(D189*F189)</f>
        <v>0</v>
      </c>
      <c r="I189" s="19">
        <f>(0.25+0.45)*2*3.5*40</f>
        <v>195.99999999999997</v>
      </c>
    </row>
    <row r="190" spans="1:13" ht="13.5" x14ac:dyDescent="0.2">
      <c r="A190" s="111"/>
      <c r="B190" s="112" t="s">
        <v>413</v>
      </c>
      <c r="C190" s="131" t="s">
        <v>335</v>
      </c>
      <c r="D190" s="77">
        <v>73.5</v>
      </c>
      <c r="E190" s="31"/>
      <c r="F190" s="46"/>
      <c r="G190" s="47">
        <f t="shared" si="32"/>
        <v>0</v>
      </c>
      <c r="I190" s="19">
        <f>(0.25+0.5)*3.5*14*2</f>
        <v>73.5</v>
      </c>
    </row>
    <row r="191" spans="1:13" ht="13.5" x14ac:dyDescent="0.2">
      <c r="A191" s="111"/>
      <c r="B191" s="112" t="s">
        <v>414</v>
      </c>
      <c r="C191" s="131" t="s">
        <v>335</v>
      </c>
      <c r="D191" s="77">
        <v>31.5</v>
      </c>
      <c r="E191" s="31"/>
      <c r="F191" s="46"/>
      <c r="G191" s="47">
        <f t="shared" si="32"/>
        <v>0</v>
      </c>
      <c r="I191" s="19">
        <f>0.25*4*3.5*9</f>
        <v>31.5</v>
      </c>
    </row>
    <row r="192" spans="1:13" x14ac:dyDescent="0.2">
      <c r="A192" s="114" t="s">
        <v>90</v>
      </c>
      <c r="B192" s="115" t="s">
        <v>264</v>
      </c>
      <c r="C192" s="116"/>
      <c r="D192" s="117"/>
      <c r="E192" s="118"/>
      <c r="F192" s="46"/>
      <c r="G192" s="47">
        <f t="shared" ref="G192:G193" si="33">(D192*E192)+(D192*F192)</f>
        <v>0</v>
      </c>
    </row>
    <row r="193" spans="1:13" ht="24" x14ac:dyDescent="0.2">
      <c r="A193" s="111"/>
      <c r="B193" s="112" t="s">
        <v>450</v>
      </c>
      <c r="C193" s="131" t="s">
        <v>335</v>
      </c>
      <c r="D193" s="77">
        <v>100.07</v>
      </c>
      <c r="E193" s="31"/>
      <c r="F193" s="46"/>
      <c r="G193" s="47">
        <f t="shared" si="33"/>
        <v>0</v>
      </c>
      <c r="I193" s="19">
        <f>18.25+13.5*2+1.2*2</f>
        <v>47.65</v>
      </c>
      <c r="J193" s="19">
        <f>I193*1.05*2</f>
        <v>100.065</v>
      </c>
    </row>
    <row r="194" spans="1:13" x14ac:dyDescent="0.2">
      <c r="A194" s="111"/>
      <c r="B194" s="112"/>
      <c r="C194" s="131"/>
      <c r="D194" s="77"/>
      <c r="E194" s="31"/>
      <c r="F194" s="46"/>
      <c r="G194" s="47"/>
    </row>
    <row r="195" spans="1:13" x14ac:dyDescent="0.2">
      <c r="A195" s="102" t="s">
        <v>142</v>
      </c>
      <c r="B195" s="103" t="s">
        <v>239</v>
      </c>
      <c r="C195" s="104"/>
      <c r="D195" s="105"/>
      <c r="E195" s="106"/>
      <c r="F195" s="107"/>
      <c r="G195" s="108"/>
    </row>
    <row r="196" spans="1:13" x14ac:dyDescent="0.2">
      <c r="A196" s="114" t="s">
        <v>93</v>
      </c>
      <c r="B196" s="115" t="s">
        <v>255</v>
      </c>
      <c r="C196" s="116"/>
      <c r="D196" s="117"/>
      <c r="E196" s="118"/>
      <c r="F196" s="119"/>
      <c r="G196" s="120"/>
    </row>
    <row r="197" spans="1:13" ht="13.5" x14ac:dyDescent="0.2">
      <c r="A197" s="111"/>
      <c r="B197" s="112" t="s">
        <v>426</v>
      </c>
      <c r="C197" s="131" t="s">
        <v>335</v>
      </c>
      <c r="D197" s="77">
        <v>206.2</v>
      </c>
      <c r="E197" s="31"/>
      <c r="F197" s="46"/>
      <c r="G197" s="47">
        <f t="shared" ref="G197:G200" si="34">(D197*E197)+(D197*F197)</f>
        <v>0</v>
      </c>
      <c r="I197" s="19">
        <f>15.7*7</f>
        <v>109.89999999999999</v>
      </c>
      <c r="J197" s="19">
        <f>I197*1.85</f>
        <v>203.315</v>
      </c>
      <c r="K197" s="19">
        <f>16.025+2.9</f>
        <v>18.924999999999997</v>
      </c>
      <c r="L197" s="19">
        <f>K197*0.15</f>
        <v>2.8387499999999997</v>
      </c>
      <c r="M197" s="19">
        <f>L197+J197</f>
        <v>206.15375</v>
      </c>
    </row>
    <row r="198" spans="1:13" ht="13.5" x14ac:dyDescent="0.2">
      <c r="A198" s="111"/>
      <c r="B198" s="112" t="s">
        <v>425</v>
      </c>
      <c r="C198" s="131" t="s">
        <v>335</v>
      </c>
      <c r="D198" s="77">
        <v>60.85</v>
      </c>
      <c r="E198" s="31"/>
      <c r="F198" s="46"/>
      <c r="G198" s="47">
        <f t="shared" si="34"/>
        <v>0</v>
      </c>
      <c r="I198" s="19">
        <f>7.8*6</f>
        <v>46.8</v>
      </c>
      <c r="J198" s="19">
        <f>I198*1.3</f>
        <v>60.839999999999996</v>
      </c>
    </row>
    <row r="199" spans="1:13" ht="13.5" x14ac:dyDescent="0.2">
      <c r="A199" s="111"/>
      <c r="B199" s="112" t="s">
        <v>424</v>
      </c>
      <c r="C199" s="131" t="s">
        <v>335</v>
      </c>
      <c r="D199" s="77">
        <v>120.47</v>
      </c>
      <c r="E199" s="31"/>
      <c r="F199" s="46"/>
      <c r="G199" s="47">
        <f t="shared" si="34"/>
        <v>0</v>
      </c>
      <c r="I199" s="19">
        <f>2.945*2+1.85+2.925*6+2.95*6+2.5+0.95*2+3.975*5*2+2.6*2+4.025*2</f>
        <v>100.39</v>
      </c>
      <c r="J199" s="19">
        <f>I199*1.2</f>
        <v>120.46799999999999</v>
      </c>
    </row>
    <row r="200" spans="1:13" ht="13.5" x14ac:dyDescent="0.2">
      <c r="A200" s="111"/>
      <c r="B200" s="112" t="s">
        <v>423</v>
      </c>
      <c r="C200" s="131" t="s">
        <v>335</v>
      </c>
      <c r="D200" s="77">
        <v>20.3</v>
      </c>
      <c r="E200" s="31"/>
      <c r="F200" s="46"/>
      <c r="G200" s="47">
        <f t="shared" si="34"/>
        <v>0</v>
      </c>
      <c r="I200" s="19">
        <f>2.6*6</f>
        <v>15.600000000000001</v>
      </c>
      <c r="J200" s="19">
        <f>I200*1.3</f>
        <v>20.28</v>
      </c>
    </row>
    <row r="201" spans="1:13" x14ac:dyDescent="0.2">
      <c r="A201" s="114" t="s">
        <v>126</v>
      </c>
      <c r="B201" s="115" t="s">
        <v>256</v>
      </c>
      <c r="C201" s="116"/>
      <c r="D201" s="117"/>
      <c r="E201" s="118"/>
      <c r="F201" s="46"/>
      <c r="G201" s="47">
        <f t="shared" ref="G201:G204" si="35">(D201*E201)+(D201*F201)</f>
        <v>0</v>
      </c>
    </row>
    <row r="202" spans="1:13" ht="13.5" x14ac:dyDescent="0.2">
      <c r="A202" s="111"/>
      <c r="B202" s="112" t="s">
        <v>257</v>
      </c>
      <c r="C202" s="131" t="s">
        <v>335</v>
      </c>
      <c r="D202" s="77">
        <v>50.95</v>
      </c>
      <c r="E202" s="31"/>
      <c r="F202" s="46"/>
      <c r="G202" s="47">
        <f t="shared" si="35"/>
        <v>0</v>
      </c>
      <c r="I202" s="19">
        <f>3.05*16.7</f>
        <v>50.934999999999995</v>
      </c>
    </row>
    <row r="203" spans="1:13" x14ac:dyDescent="0.2">
      <c r="A203" s="114" t="s">
        <v>127</v>
      </c>
      <c r="B203" s="115" t="s">
        <v>264</v>
      </c>
      <c r="C203" s="116"/>
      <c r="D203" s="117"/>
      <c r="E203" s="118"/>
      <c r="F203" s="46"/>
      <c r="G203" s="47">
        <f t="shared" si="35"/>
        <v>0</v>
      </c>
    </row>
    <row r="204" spans="1:13" ht="24" x14ac:dyDescent="0.2">
      <c r="A204" s="111"/>
      <c r="B204" s="112" t="s">
        <v>438</v>
      </c>
      <c r="C204" s="131" t="s">
        <v>335</v>
      </c>
      <c r="D204" s="77">
        <v>47.3</v>
      </c>
      <c r="E204" s="31"/>
      <c r="F204" s="46"/>
      <c r="G204" s="47">
        <f t="shared" si="35"/>
        <v>0</v>
      </c>
      <c r="I204" s="19">
        <f>16.7*2+3*2</f>
        <v>39.4</v>
      </c>
      <c r="J204" s="19">
        <f>I204*0.6*2</f>
        <v>47.279999999999994</v>
      </c>
    </row>
    <row r="205" spans="1:13" x14ac:dyDescent="0.2">
      <c r="A205" s="111"/>
      <c r="B205" s="112"/>
      <c r="C205" s="131"/>
      <c r="D205" s="77"/>
      <c r="E205" s="31"/>
      <c r="F205" s="46"/>
      <c r="G205" s="47"/>
    </row>
    <row r="206" spans="1:13" ht="12.75" thickBot="1" x14ac:dyDescent="0.25">
      <c r="A206" s="121"/>
      <c r="B206" s="122"/>
      <c r="C206" s="349"/>
      <c r="D206" s="124"/>
      <c r="E206" s="64"/>
      <c r="F206" s="125"/>
      <c r="G206" s="126"/>
    </row>
    <row r="207" spans="1:13" x14ac:dyDescent="0.2">
      <c r="A207" s="97" t="s">
        <v>57</v>
      </c>
      <c r="B207" s="127" t="s">
        <v>11</v>
      </c>
      <c r="C207" s="101"/>
      <c r="D207" s="99"/>
      <c r="E207" s="100"/>
      <c r="F207" s="99"/>
      <c r="G207" s="128"/>
    </row>
    <row r="208" spans="1:13" ht="48" customHeight="1" x14ac:dyDescent="0.2">
      <c r="A208" s="81"/>
      <c r="B208" s="49" t="s">
        <v>91</v>
      </c>
      <c r="C208" s="49"/>
      <c r="D208" s="49"/>
      <c r="E208" s="49"/>
      <c r="F208" s="49"/>
      <c r="G208" s="130"/>
    </row>
    <row r="209" spans="1:12" ht="37.5" customHeight="1" x14ac:dyDescent="0.2">
      <c r="A209" s="50"/>
      <c r="B209" s="49" t="s">
        <v>92</v>
      </c>
      <c r="C209" s="49"/>
      <c r="D209" s="49"/>
      <c r="E209" s="49"/>
      <c r="F209" s="49"/>
      <c r="G209" s="130"/>
    </row>
    <row r="210" spans="1:12" ht="59.25" customHeight="1" x14ac:dyDescent="0.2">
      <c r="A210" s="81"/>
      <c r="B210" s="49" t="s">
        <v>251</v>
      </c>
      <c r="C210" s="49"/>
      <c r="D210" s="49"/>
      <c r="E210" s="49"/>
      <c r="F210" s="49"/>
      <c r="G210" s="130"/>
    </row>
    <row r="211" spans="1:12" x14ac:dyDescent="0.2">
      <c r="A211" s="102" t="s">
        <v>140</v>
      </c>
      <c r="B211" s="103" t="s">
        <v>56</v>
      </c>
      <c r="C211" s="132"/>
      <c r="D211" s="133"/>
      <c r="E211" s="134"/>
      <c r="F211" s="135"/>
      <c r="G211" s="136"/>
    </row>
    <row r="212" spans="1:12" x14ac:dyDescent="0.2">
      <c r="A212" s="138" t="s">
        <v>153</v>
      </c>
      <c r="B212" s="139" t="s">
        <v>184</v>
      </c>
      <c r="C212" s="140" t="s">
        <v>125</v>
      </c>
      <c r="D212" s="141">
        <f>I215/1000</f>
        <v>0.75744600000000006</v>
      </c>
      <c r="E212" s="142"/>
      <c r="F212" s="46"/>
      <c r="G212" s="47">
        <f t="shared" ref="G212:G215" si="36">(D212*E212)+(D212*F212)</f>
        <v>0</v>
      </c>
      <c r="H212" s="143"/>
      <c r="I212" s="144"/>
    </row>
    <row r="213" spans="1:12" x14ac:dyDescent="0.2">
      <c r="A213" s="145" t="s">
        <v>162</v>
      </c>
      <c r="B213" s="112" t="s">
        <v>207</v>
      </c>
      <c r="C213" s="146" t="s">
        <v>8</v>
      </c>
      <c r="D213" s="147">
        <v>97</v>
      </c>
      <c r="E213" s="148"/>
      <c r="F213" s="149"/>
      <c r="G213" s="47">
        <f t="shared" si="36"/>
        <v>0</v>
      </c>
      <c r="H213" s="143"/>
      <c r="I213" s="109">
        <f>0.888*D213*6</f>
        <v>516.81600000000003</v>
      </c>
    </row>
    <row r="214" spans="1:12" x14ac:dyDescent="0.2">
      <c r="A214" s="145"/>
      <c r="B214" s="112" t="s">
        <v>208</v>
      </c>
      <c r="C214" s="146" t="s">
        <v>8</v>
      </c>
      <c r="D214" s="147">
        <v>65</v>
      </c>
      <c r="E214" s="148"/>
      <c r="F214" s="149"/>
      <c r="G214" s="47">
        <f t="shared" ref="G214" si="37">(D214*E214)+(D214*F214)</f>
        <v>0</v>
      </c>
      <c r="H214" s="143"/>
      <c r="I214" s="109">
        <f>0.617*D214*6</f>
        <v>240.63</v>
      </c>
    </row>
    <row r="215" spans="1:12" x14ac:dyDescent="0.2">
      <c r="A215" s="145"/>
      <c r="B215" s="150" t="s">
        <v>13</v>
      </c>
      <c r="C215" s="146" t="s">
        <v>9</v>
      </c>
      <c r="D215" s="147">
        <f>D212*20</f>
        <v>15.14892</v>
      </c>
      <c r="E215" s="148"/>
      <c r="F215" s="149"/>
      <c r="G215" s="47">
        <f t="shared" si="36"/>
        <v>0</v>
      </c>
      <c r="H215" s="143"/>
      <c r="I215" s="109">
        <f>SUM(I213:I214)</f>
        <v>757.44600000000003</v>
      </c>
    </row>
    <row r="216" spans="1:12" x14ac:dyDescent="0.2">
      <c r="A216" s="114" t="s">
        <v>154</v>
      </c>
      <c r="B216" s="115" t="s">
        <v>192</v>
      </c>
      <c r="C216" s="116" t="s">
        <v>125</v>
      </c>
      <c r="D216" s="117">
        <f>I218/1000</f>
        <v>3.7797420000000002</v>
      </c>
      <c r="E216" s="118"/>
      <c r="F216" s="46"/>
      <c r="G216" s="47">
        <f t="shared" ref="G216:G218" si="38">(D216*E216)+(D216*F216)</f>
        <v>0</v>
      </c>
    </row>
    <row r="217" spans="1:12" x14ac:dyDescent="0.2">
      <c r="A217" s="114"/>
      <c r="B217" s="112" t="s">
        <v>299</v>
      </c>
      <c r="C217" s="113" t="s">
        <v>8</v>
      </c>
      <c r="D217" s="77">
        <v>1021</v>
      </c>
      <c r="E217" s="78"/>
      <c r="F217" s="46"/>
      <c r="G217" s="47">
        <f t="shared" si="38"/>
        <v>0</v>
      </c>
      <c r="I217" s="109">
        <f>0.617*D217*6</f>
        <v>3779.7420000000002</v>
      </c>
      <c r="K217" s="19">
        <f>726.65*7.66*110%</f>
        <v>6122.7529000000004</v>
      </c>
      <c r="L217" s="19">
        <f>K217/6</f>
        <v>1020.4588166666667</v>
      </c>
    </row>
    <row r="218" spans="1:12" x14ac:dyDescent="0.2">
      <c r="A218" s="111"/>
      <c r="B218" s="112" t="s">
        <v>13</v>
      </c>
      <c r="C218" s="113" t="s">
        <v>9</v>
      </c>
      <c r="D218" s="77">
        <f>D216*20</f>
        <v>75.594840000000005</v>
      </c>
      <c r="E218" s="78"/>
      <c r="F218" s="46"/>
      <c r="G218" s="47">
        <f t="shared" si="38"/>
        <v>0</v>
      </c>
      <c r="I218" s="109">
        <f>SUM(I216:I217)</f>
        <v>3779.7420000000002</v>
      </c>
    </row>
    <row r="219" spans="1:12" x14ac:dyDescent="0.2">
      <c r="A219" s="102" t="s">
        <v>531</v>
      </c>
      <c r="B219" s="103" t="s">
        <v>58</v>
      </c>
      <c r="C219" s="132"/>
      <c r="D219" s="133"/>
      <c r="E219" s="134"/>
      <c r="F219" s="135"/>
      <c r="G219" s="136"/>
    </row>
    <row r="220" spans="1:12" x14ac:dyDescent="0.2">
      <c r="A220" s="138" t="s">
        <v>153</v>
      </c>
      <c r="B220" s="139" t="s">
        <v>259</v>
      </c>
      <c r="C220" s="140"/>
      <c r="D220" s="141"/>
      <c r="E220" s="142"/>
      <c r="F220" s="46"/>
      <c r="G220" s="47"/>
    </row>
    <row r="221" spans="1:12" x14ac:dyDescent="0.2">
      <c r="A221" s="111"/>
      <c r="B221" s="112" t="s">
        <v>416</v>
      </c>
      <c r="C221" s="113" t="s">
        <v>125</v>
      </c>
      <c r="D221" s="77">
        <f>I225/1000</f>
        <v>9.7961940000000016</v>
      </c>
      <c r="E221" s="78"/>
      <c r="F221" s="46"/>
      <c r="G221" s="47">
        <f t="shared" ref="G221:G237" si="39">(D221*E221)+(D221*F221)</f>
        <v>0</v>
      </c>
    </row>
    <row r="222" spans="1:12" x14ac:dyDescent="0.2">
      <c r="A222" s="114"/>
      <c r="B222" s="112" t="s">
        <v>260</v>
      </c>
      <c r="C222" s="113" t="s">
        <v>8</v>
      </c>
      <c r="D222" s="77">
        <v>237</v>
      </c>
      <c r="E222" s="78"/>
      <c r="F222" s="46"/>
      <c r="G222" s="47">
        <f t="shared" si="39"/>
        <v>0</v>
      </c>
      <c r="I222" s="109">
        <f>D222*2.469*6</f>
        <v>3510.9180000000001</v>
      </c>
      <c r="J222" s="109">
        <f>6.1*3</f>
        <v>18.299999999999997</v>
      </c>
      <c r="K222" s="137">
        <f>J222/0.1</f>
        <v>182.99999999999997</v>
      </c>
      <c r="L222" s="137">
        <f>K222/4</f>
        <v>45.749999999999993</v>
      </c>
    </row>
    <row r="223" spans="1:12" x14ac:dyDescent="0.2">
      <c r="A223" s="114"/>
      <c r="B223" s="112" t="s">
        <v>261</v>
      </c>
      <c r="C223" s="113" t="s">
        <v>8</v>
      </c>
      <c r="D223" s="77">
        <v>237</v>
      </c>
      <c r="E223" s="78"/>
      <c r="F223" s="46"/>
      <c r="G223" s="47">
        <f t="shared" si="39"/>
        <v>0</v>
      </c>
      <c r="I223" s="109">
        <f>D223*3.858*6</f>
        <v>5486.076</v>
      </c>
    </row>
    <row r="224" spans="1:12" x14ac:dyDescent="0.2">
      <c r="A224" s="111"/>
      <c r="B224" s="112" t="s">
        <v>209</v>
      </c>
      <c r="C224" s="113" t="s">
        <v>8</v>
      </c>
      <c r="D224" s="77">
        <v>600</v>
      </c>
      <c r="E224" s="78"/>
      <c r="F224" s="46"/>
      <c r="G224" s="47">
        <f t="shared" si="39"/>
        <v>0</v>
      </c>
      <c r="I224" s="109">
        <f>0.222*D224*6</f>
        <v>799.19999999999993</v>
      </c>
      <c r="J224" s="19">
        <f>25.8*2+12.975*2+16.275+6.6</f>
        <v>100.42499999999998</v>
      </c>
      <c r="K224" s="19">
        <f>J224/0.1</f>
        <v>1004.2499999999998</v>
      </c>
      <c r="L224" s="19">
        <f>K224/4</f>
        <v>251.06249999999994</v>
      </c>
    </row>
    <row r="225" spans="1:14" ht="12.75" thickBot="1" x14ac:dyDescent="0.25">
      <c r="A225" s="121"/>
      <c r="B225" s="122" t="s">
        <v>13</v>
      </c>
      <c r="C225" s="123" t="s">
        <v>9</v>
      </c>
      <c r="D225" s="124">
        <f>D221*20</f>
        <v>195.92388000000003</v>
      </c>
      <c r="E225" s="151"/>
      <c r="F225" s="125"/>
      <c r="G225" s="126">
        <f t="shared" si="39"/>
        <v>0</v>
      </c>
      <c r="I225" s="109">
        <f>SUM(I222:I224)</f>
        <v>9796.1940000000013</v>
      </c>
      <c r="J225" s="109"/>
    </row>
    <row r="226" spans="1:14" x14ac:dyDescent="0.2">
      <c r="A226" s="352"/>
      <c r="B226" s="353"/>
      <c r="C226" s="288"/>
      <c r="D226" s="289"/>
      <c r="E226" s="290"/>
      <c r="F226" s="159"/>
      <c r="G226" s="160"/>
      <c r="I226" s="109"/>
      <c r="J226" s="109"/>
    </row>
    <row r="227" spans="1:14" x14ac:dyDescent="0.2">
      <c r="A227" s="111"/>
      <c r="B227" s="112" t="s">
        <v>432</v>
      </c>
      <c r="C227" s="113" t="s">
        <v>125</v>
      </c>
      <c r="D227" s="77">
        <f>I230/1000</f>
        <v>2.1911640000000001</v>
      </c>
      <c r="E227" s="78"/>
      <c r="F227" s="46"/>
      <c r="G227" s="47">
        <f t="shared" ref="G227:G230" si="40">(D227*E227)+(D227*F227)</f>
        <v>0</v>
      </c>
      <c r="I227" s="109"/>
      <c r="J227" s="109"/>
    </row>
    <row r="228" spans="1:14" x14ac:dyDescent="0.2">
      <c r="A228" s="111"/>
      <c r="B228" s="112" t="s">
        <v>206</v>
      </c>
      <c r="C228" s="113" t="s">
        <v>8</v>
      </c>
      <c r="D228" s="77">
        <v>188</v>
      </c>
      <c r="E228" s="78"/>
      <c r="F228" s="46"/>
      <c r="G228" s="47">
        <f t="shared" ref="G228:G229" si="41">(D228*E228)+(D228*F228)</f>
        <v>0</v>
      </c>
      <c r="I228" s="109">
        <f>D228*1.58*6</f>
        <v>1782.2400000000002</v>
      </c>
      <c r="J228" s="19">
        <f>12.7</f>
        <v>12.7</v>
      </c>
      <c r="K228" s="19">
        <f>J228/0.15</f>
        <v>84.666666666666671</v>
      </c>
      <c r="L228" s="19">
        <f>K228/2</f>
        <v>42.333333333333336</v>
      </c>
    </row>
    <row r="229" spans="1:14" x14ac:dyDescent="0.2">
      <c r="A229" s="111"/>
      <c r="B229" s="112" t="s">
        <v>209</v>
      </c>
      <c r="C229" s="113" t="s">
        <v>8</v>
      </c>
      <c r="D229" s="77">
        <v>307</v>
      </c>
      <c r="E229" s="78"/>
      <c r="F229" s="46"/>
      <c r="G229" s="47">
        <f t="shared" si="41"/>
        <v>0</v>
      </c>
      <c r="I229" s="109">
        <f>0.222*D229*6</f>
        <v>408.92399999999998</v>
      </c>
      <c r="J229" s="19">
        <f>25.8*2+12.975*2+16.275+6.6</f>
        <v>100.42499999999998</v>
      </c>
      <c r="K229" s="19">
        <f>J229/0.1</f>
        <v>1004.2499999999998</v>
      </c>
      <c r="L229" s="19">
        <f>K229/4</f>
        <v>251.06249999999994</v>
      </c>
    </row>
    <row r="230" spans="1:14" x14ac:dyDescent="0.2">
      <c r="A230" s="111"/>
      <c r="B230" s="112" t="s">
        <v>13</v>
      </c>
      <c r="C230" s="113" t="s">
        <v>9</v>
      </c>
      <c r="D230" s="77">
        <f>D227*20</f>
        <v>43.823280000000004</v>
      </c>
      <c r="E230" s="78"/>
      <c r="F230" s="46"/>
      <c r="G230" s="47">
        <f t="shared" si="40"/>
        <v>0</v>
      </c>
      <c r="I230" s="109">
        <f>SUM(I228:I229)</f>
        <v>2191.1640000000002</v>
      </c>
      <c r="J230" s="109"/>
    </row>
    <row r="231" spans="1:14" x14ac:dyDescent="0.2">
      <c r="A231" s="111"/>
      <c r="B231" s="112" t="s">
        <v>433</v>
      </c>
      <c r="C231" s="113" t="s">
        <v>125</v>
      </c>
      <c r="D231" s="77">
        <f>I234/1000</f>
        <v>0.56780999999999993</v>
      </c>
      <c r="E231" s="78"/>
      <c r="F231" s="46"/>
      <c r="G231" s="47">
        <f t="shared" ref="G231:G234" si="42">(D231*E231)+(D231*F231)</f>
        <v>0</v>
      </c>
      <c r="I231" s="109"/>
      <c r="J231" s="109"/>
    </row>
    <row r="232" spans="1:14" x14ac:dyDescent="0.2">
      <c r="A232" s="111"/>
      <c r="B232" s="112" t="s">
        <v>260</v>
      </c>
      <c r="C232" s="113" t="s">
        <v>8</v>
      </c>
      <c r="D232" s="77">
        <v>27</v>
      </c>
      <c r="E232" s="78"/>
      <c r="F232" s="46"/>
      <c r="G232" s="47">
        <f t="shared" ref="G232" si="43">(D232*E232)+(D232*F232)</f>
        <v>0</v>
      </c>
      <c r="I232" s="109">
        <f>D232*2.469*6</f>
        <v>399.97799999999995</v>
      </c>
      <c r="J232" s="109">
        <f>6.1*3</f>
        <v>18.299999999999997</v>
      </c>
      <c r="K232" s="137">
        <f>J232/0.1</f>
        <v>182.99999999999997</v>
      </c>
      <c r="L232" s="137">
        <f>K232/4</f>
        <v>45.749999999999993</v>
      </c>
    </row>
    <row r="233" spans="1:14" x14ac:dyDescent="0.2">
      <c r="A233" s="111"/>
      <c r="B233" s="112" t="s">
        <v>209</v>
      </c>
      <c r="C233" s="113" t="s">
        <v>8</v>
      </c>
      <c r="D233" s="77">
        <v>126</v>
      </c>
      <c r="E233" s="78"/>
      <c r="F233" s="46"/>
      <c r="G233" s="47">
        <f t="shared" si="42"/>
        <v>0</v>
      </c>
      <c r="I233" s="109">
        <f>0.222*D233*6</f>
        <v>167.83199999999999</v>
      </c>
      <c r="J233" s="109"/>
    </row>
    <row r="234" spans="1:14" x14ac:dyDescent="0.2">
      <c r="A234" s="111"/>
      <c r="B234" s="112" t="s">
        <v>13</v>
      </c>
      <c r="C234" s="113" t="s">
        <v>9</v>
      </c>
      <c r="D234" s="77">
        <f>D231*20</f>
        <v>11.356199999999998</v>
      </c>
      <c r="E234" s="78"/>
      <c r="F234" s="46"/>
      <c r="G234" s="47">
        <f t="shared" si="42"/>
        <v>0</v>
      </c>
      <c r="I234" s="109">
        <f>SUM(I232:I233)</f>
        <v>567.80999999999995</v>
      </c>
      <c r="J234" s="109"/>
    </row>
    <row r="235" spans="1:14" x14ac:dyDescent="0.2">
      <c r="A235" s="138" t="s">
        <v>154</v>
      </c>
      <c r="B235" s="139" t="s">
        <v>256</v>
      </c>
      <c r="C235" s="140" t="s">
        <v>125</v>
      </c>
      <c r="D235" s="141">
        <f>I237/1000</f>
        <v>11.720531999999999</v>
      </c>
      <c r="E235" s="142"/>
      <c r="F235" s="46"/>
      <c r="G235" s="47">
        <f t="shared" si="39"/>
        <v>0</v>
      </c>
      <c r="H235" s="143"/>
      <c r="I235" s="144"/>
    </row>
    <row r="236" spans="1:14" x14ac:dyDescent="0.2">
      <c r="A236" s="145" t="s">
        <v>162</v>
      </c>
      <c r="B236" s="112" t="s">
        <v>208</v>
      </c>
      <c r="C236" s="146" t="s">
        <v>8</v>
      </c>
      <c r="D236" s="147">
        <v>3166</v>
      </c>
      <c r="E236" s="148"/>
      <c r="F236" s="149"/>
      <c r="G236" s="47">
        <f t="shared" si="39"/>
        <v>0</v>
      </c>
      <c r="H236" s="143"/>
      <c r="I236" s="109">
        <f>0.617*D236*6</f>
        <v>11720.531999999999</v>
      </c>
      <c r="J236" s="19">
        <v>708.4</v>
      </c>
      <c r="K236" s="19">
        <f>J236*15.32</f>
        <v>10852.688</v>
      </c>
      <c r="L236" s="19">
        <f>K236*75%</f>
        <v>8139.5159999999996</v>
      </c>
      <c r="M236" s="19">
        <f>SUM(K236:L236)</f>
        <v>18992.203999999998</v>
      </c>
      <c r="N236" s="19">
        <f>M236/6</f>
        <v>3165.3673333333331</v>
      </c>
    </row>
    <row r="237" spans="1:14" x14ac:dyDescent="0.2">
      <c r="A237" s="145"/>
      <c r="B237" s="150" t="s">
        <v>13</v>
      </c>
      <c r="C237" s="146" t="s">
        <v>9</v>
      </c>
      <c r="D237" s="147">
        <f>D235*20</f>
        <v>234.41063999999997</v>
      </c>
      <c r="E237" s="148"/>
      <c r="F237" s="149"/>
      <c r="G237" s="47">
        <f t="shared" si="39"/>
        <v>0</v>
      </c>
      <c r="H237" s="143"/>
      <c r="I237" s="109">
        <f>SUM(I235:I236)</f>
        <v>11720.531999999999</v>
      </c>
    </row>
    <row r="238" spans="1:14" x14ac:dyDescent="0.2">
      <c r="A238" s="138" t="s">
        <v>163</v>
      </c>
      <c r="B238" s="139" t="s">
        <v>159</v>
      </c>
      <c r="C238" s="140"/>
      <c r="D238" s="141"/>
      <c r="E238" s="142"/>
      <c r="F238" s="46"/>
      <c r="G238" s="47"/>
    </row>
    <row r="239" spans="1:14" x14ac:dyDescent="0.2">
      <c r="A239" s="111"/>
      <c r="B239" s="112" t="s">
        <v>410</v>
      </c>
      <c r="C239" s="113" t="s">
        <v>125</v>
      </c>
      <c r="D239" s="77">
        <f>I242/1000</f>
        <v>6.6075840000000001</v>
      </c>
      <c r="E239" s="78"/>
      <c r="F239" s="46"/>
      <c r="G239" s="47">
        <f t="shared" ref="G239:G254" si="44">(D239*E239)+(D239*F239)</f>
        <v>0</v>
      </c>
    </row>
    <row r="240" spans="1:14" x14ac:dyDescent="0.2">
      <c r="A240" s="114"/>
      <c r="B240" s="112" t="s">
        <v>260</v>
      </c>
      <c r="C240" s="113" t="s">
        <v>8</v>
      </c>
      <c r="D240" s="77">
        <v>400</v>
      </c>
      <c r="E240" s="78"/>
      <c r="F240" s="46"/>
      <c r="G240" s="47">
        <f t="shared" si="44"/>
        <v>0</v>
      </c>
      <c r="I240" s="109">
        <f>D240*2.469*6</f>
        <v>5925.5999999999995</v>
      </c>
      <c r="L240" s="19">
        <f>3.36/0.15</f>
        <v>22.4</v>
      </c>
      <c r="M240" s="19">
        <f>L240*5</f>
        <v>112</v>
      </c>
      <c r="N240" s="19">
        <f>M240/8</f>
        <v>14</v>
      </c>
    </row>
    <row r="241" spans="1:17" x14ac:dyDescent="0.2">
      <c r="A241" s="111"/>
      <c r="B241" s="112" t="s">
        <v>209</v>
      </c>
      <c r="C241" s="113" t="s">
        <v>8</v>
      </c>
      <c r="D241" s="77">
        <v>512</v>
      </c>
      <c r="E241" s="78"/>
      <c r="F241" s="46"/>
      <c r="G241" s="47">
        <f t="shared" si="44"/>
        <v>0</v>
      </c>
      <c r="I241" s="109">
        <f>0.222*D241*6</f>
        <v>681.98400000000004</v>
      </c>
    </row>
    <row r="242" spans="1:17" x14ac:dyDescent="0.2">
      <c r="A242" s="111"/>
      <c r="B242" s="112" t="s">
        <v>13</v>
      </c>
      <c r="C242" s="113" t="s">
        <v>9</v>
      </c>
      <c r="D242" s="77">
        <f>D239*20</f>
        <v>132.15168</v>
      </c>
      <c r="E242" s="78"/>
      <c r="F242" s="46"/>
      <c r="G242" s="47">
        <f t="shared" si="44"/>
        <v>0</v>
      </c>
      <c r="I242" s="109">
        <f>SUM(I240:I241)</f>
        <v>6607.5839999999998</v>
      </c>
      <c r="J242" s="109"/>
    </row>
    <row r="243" spans="1:17" x14ac:dyDescent="0.2">
      <c r="A243" s="111"/>
      <c r="B243" s="112" t="s">
        <v>415</v>
      </c>
      <c r="C243" s="113" t="s">
        <v>125</v>
      </c>
      <c r="D243" s="77">
        <f>I246/1000</f>
        <v>2.8982879999999995</v>
      </c>
      <c r="E243" s="78"/>
      <c r="F243" s="46"/>
      <c r="G243" s="47">
        <f t="shared" si="44"/>
        <v>0</v>
      </c>
      <c r="I243" s="109"/>
      <c r="J243" s="109"/>
    </row>
    <row r="244" spans="1:17" x14ac:dyDescent="0.2">
      <c r="A244" s="111"/>
      <c r="B244" s="112" t="s">
        <v>260</v>
      </c>
      <c r="C244" s="113" t="s">
        <v>8</v>
      </c>
      <c r="D244" s="77">
        <v>180</v>
      </c>
      <c r="E244" s="78"/>
      <c r="F244" s="46"/>
      <c r="G244" s="47">
        <f t="shared" ref="G244" si="45">(D244*E244)+(D244*F244)</f>
        <v>0</v>
      </c>
      <c r="I244" s="109">
        <f>D244*2.469*6</f>
        <v>2666.5199999999995</v>
      </c>
      <c r="L244" s="19">
        <f>23*18</f>
        <v>414</v>
      </c>
      <c r="M244" s="19">
        <f>L244/2</f>
        <v>207</v>
      </c>
      <c r="N244" s="19">
        <f>L244*2</f>
        <v>828</v>
      </c>
      <c r="O244" s="19">
        <f>N244-M244*2</f>
        <v>414</v>
      </c>
      <c r="P244" s="19">
        <f>O244/4</f>
        <v>103.5</v>
      </c>
      <c r="Q244" s="19">
        <f>P244+M244</f>
        <v>310.5</v>
      </c>
    </row>
    <row r="245" spans="1:17" x14ac:dyDescent="0.2">
      <c r="A245" s="111"/>
      <c r="B245" s="112" t="s">
        <v>209</v>
      </c>
      <c r="C245" s="113" t="s">
        <v>8</v>
      </c>
      <c r="D245" s="77">
        <v>174</v>
      </c>
      <c r="E245" s="78"/>
      <c r="F245" s="46"/>
      <c r="G245" s="47">
        <f t="shared" si="44"/>
        <v>0</v>
      </c>
      <c r="I245" s="109">
        <f>0.222*D245*6</f>
        <v>231.768</v>
      </c>
    </row>
    <row r="246" spans="1:17" x14ac:dyDescent="0.2">
      <c r="A246" s="111"/>
      <c r="B246" s="112" t="s">
        <v>13</v>
      </c>
      <c r="C246" s="113" t="s">
        <v>9</v>
      </c>
      <c r="D246" s="77">
        <f>D243*20</f>
        <v>57.965759999999989</v>
      </c>
      <c r="E246" s="78"/>
      <c r="F246" s="46"/>
      <c r="G246" s="47">
        <f t="shared" si="44"/>
        <v>0</v>
      </c>
      <c r="I246" s="109">
        <f>SUM(I244:I245)</f>
        <v>2898.2879999999996</v>
      </c>
      <c r="J246" s="109"/>
    </row>
    <row r="247" spans="1:17" x14ac:dyDescent="0.2">
      <c r="A247" s="111"/>
      <c r="B247" s="112" t="s">
        <v>411</v>
      </c>
      <c r="C247" s="113" t="s">
        <v>125</v>
      </c>
      <c r="D247" s="77">
        <f>I250/1000</f>
        <v>0.37591200000000002</v>
      </c>
      <c r="E247" s="78"/>
      <c r="F247" s="46"/>
      <c r="G247" s="47">
        <f t="shared" si="44"/>
        <v>0</v>
      </c>
      <c r="I247" s="109"/>
      <c r="J247" s="109"/>
    </row>
    <row r="248" spans="1:17" x14ac:dyDescent="0.2">
      <c r="A248" s="111"/>
      <c r="B248" s="112" t="s">
        <v>206</v>
      </c>
      <c r="C248" s="113" t="s">
        <v>8</v>
      </c>
      <c r="D248" s="77">
        <v>36</v>
      </c>
      <c r="E248" s="78"/>
      <c r="F248" s="46"/>
      <c r="G248" s="47">
        <f t="shared" si="44"/>
        <v>0</v>
      </c>
      <c r="I248" s="109">
        <f>D248*1.58*6</f>
        <v>341.28000000000003</v>
      </c>
    </row>
    <row r="249" spans="1:17" x14ac:dyDescent="0.2">
      <c r="A249" s="111"/>
      <c r="B249" s="112" t="s">
        <v>209</v>
      </c>
      <c r="C249" s="113" t="s">
        <v>8</v>
      </c>
      <c r="D249" s="77">
        <v>26</v>
      </c>
      <c r="E249" s="78"/>
      <c r="F249" s="46"/>
      <c r="G249" s="47">
        <f t="shared" si="44"/>
        <v>0</v>
      </c>
      <c r="I249" s="109">
        <f>0.222*D249*6</f>
        <v>34.632000000000005</v>
      </c>
      <c r="J249" s="109"/>
    </row>
    <row r="250" spans="1:17" x14ac:dyDescent="0.2">
      <c r="A250" s="111"/>
      <c r="B250" s="112" t="s">
        <v>13</v>
      </c>
      <c r="C250" s="113" t="s">
        <v>9</v>
      </c>
      <c r="D250" s="77">
        <f>D247*20</f>
        <v>7.5182400000000005</v>
      </c>
      <c r="E250" s="78"/>
      <c r="F250" s="46"/>
      <c r="G250" s="47">
        <f t="shared" si="44"/>
        <v>0</v>
      </c>
      <c r="I250" s="109">
        <f>SUM(I248:I249)</f>
        <v>375.91200000000003</v>
      </c>
      <c r="J250" s="109"/>
    </row>
    <row r="251" spans="1:17" x14ac:dyDescent="0.2">
      <c r="A251" s="138" t="s">
        <v>164</v>
      </c>
      <c r="B251" s="139" t="s">
        <v>184</v>
      </c>
      <c r="C251" s="140" t="s">
        <v>125</v>
      </c>
      <c r="D251" s="141">
        <f>I254/1000</f>
        <v>0.385764</v>
      </c>
      <c r="E251" s="142"/>
      <c r="F251" s="46"/>
      <c r="G251" s="47">
        <f t="shared" si="44"/>
        <v>0</v>
      </c>
      <c r="H251" s="143"/>
      <c r="I251" s="144"/>
    </row>
    <row r="252" spans="1:17" x14ac:dyDescent="0.2">
      <c r="A252" s="145" t="s">
        <v>162</v>
      </c>
      <c r="B252" s="112" t="s">
        <v>207</v>
      </c>
      <c r="C252" s="146" t="s">
        <v>8</v>
      </c>
      <c r="D252" s="147">
        <v>46</v>
      </c>
      <c r="E252" s="148"/>
      <c r="F252" s="149"/>
      <c r="G252" s="47">
        <f t="shared" si="44"/>
        <v>0</v>
      </c>
      <c r="H252" s="143"/>
      <c r="I252" s="109">
        <f>0.888*D252*6</f>
        <v>245.08799999999999</v>
      </c>
    </row>
    <row r="253" spans="1:17" x14ac:dyDescent="0.2">
      <c r="A253" s="145"/>
      <c r="B253" s="112" t="s">
        <v>208</v>
      </c>
      <c r="C253" s="146" t="s">
        <v>8</v>
      </c>
      <c r="D253" s="147">
        <v>38</v>
      </c>
      <c r="E253" s="148"/>
      <c r="F253" s="149"/>
      <c r="G253" s="47">
        <f t="shared" si="44"/>
        <v>0</v>
      </c>
      <c r="H253" s="143"/>
      <c r="I253" s="109">
        <f>0.617*D253*6</f>
        <v>140.67599999999999</v>
      </c>
    </row>
    <row r="254" spans="1:17" x14ac:dyDescent="0.2">
      <c r="A254" s="145"/>
      <c r="B254" s="150" t="s">
        <v>13</v>
      </c>
      <c r="C254" s="146" t="s">
        <v>9</v>
      </c>
      <c r="D254" s="147">
        <f>D251*20</f>
        <v>7.7152799999999999</v>
      </c>
      <c r="E254" s="148"/>
      <c r="F254" s="149"/>
      <c r="G254" s="47">
        <f t="shared" si="44"/>
        <v>0</v>
      </c>
      <c r="H254" s="143"/>
      <c r="I254" s="109">
        <f>SUM(I252:I253)</f>
        <v>385.76400000000001</v>
      </c>
    </row>
    <row r="255" spans="1:17" x14ac:dyDescent="0.2">
      <c r="A255" s="102" t="s">
        <v>532</v>
      </c>
      <c r="B255" s="103" t="s">
        <v>60</v>
      </c>
      <c r="C255" s="132"/>
      <c r="D255" s="133"/>
      <c r="E255" s="134"/>
      <c r="F255" s="135"/>
      <c r="G255" s="136"/>
    </row>
    <row r="256" spans="1:17" x14ac:dyDescent="0.2">
      <c r="A256" s="138" t="s">
        <v>153</v>
      </c>
      <c r="B256" s="139" t="s">
        <v>259</v>
      </c>
      <c r="C256" s="140"/>
      <c r="D256" s="141"/>
      <c r="E256" s="142"/>
      <c r="F256" s="46"/>
      <c r="G256" s="47"/>
    </row>
    <row r="257" spans="1:12" x14ac:dyDescent="0.2">
      <c r="A257" s="111"/>
      <c r="B257" s="112" t="s">
        <v>416</v>
      </c>
      <c r="C257" s="113" t="s">
        <v>125</v>
      </c>
      <c r="D257" s="77">
        <f>I261/1000</f>
        <v>2.9650320000000003</v>
      </c>
      <c r="E257" s="78"/>
      <c r="F257" s="46"/>
      <c r="G257" s="47">
        <f t="shared" ref="G257:G269" si="46">(D257*E257)+(D257*F257)</f>
        <v>0</v>
      </c>
    </row>
    <row r="258" spans="1:12" x14ac:dyDescent="0.2">
      <c r="A258" s="114"/>
      <c r="B258" s="112" t="s">
        <v>260</v>
      </c>
      <c r="C258" s="113" t="s">
        <v>8</v>
      </c>
      <c r="D258" s="77">
        <v>72</v>
      </c>
      <c r="E258" s="78"/>
      <c r="F258" s="46"/>
      <c r="G258" s="47">
        <f t="shared" si="46"/>
        <v>0</v>
      </c>
      <c r="I258" s="109">
        <f>D258*2.469*6</f>
        <v>1066.6079999999999</v>
      </c>
      <c r="J258" s="109">
        <f>8.7*6</f>
        <v>52.199999999999996</v>
      </c>
      <c r="K258" s="137">
        <f>J258/0.1</f>
        <v>521.99999999999989</v>
      </c>
      <c r="L258" s="137">
        <f>K258/4</f>
        <v>130.49999999999997</v>
      </c>
    </row>
    <row r="259" spans="1:12" x14ac:dyDescent="0.2">
      <c r="A259" s="114"/>
      <c r="B259" s="112" t="s">
        <v>261</v>
      </c>
      <c r="C259" s="113" t="s">
        <v>8</v>
      </c>
      <c r="D259" s="77">
        <v>72</v>
      </c>
      <c r="E259" s="78"/>
      <c r="F259" s="46"/>
      <c r="G259" s="47">
        <f t="shared" si="46"/>
        <v>0</v>
      </c>
      <c r="I259" s="109">
        <f>D259*3.858*6</f>
        <v>1666.6559999999999</v>
      </c>
    </row>
    <row r="260" spans="1:12" x14ac:dyDescent="0.2">
      <c r="A260" s="111"/>
      <c r="B260" s="112" t="s">
        <v>209</v>
      </c>
      <c r="C260" s="113" t="s">
        <v>8</v>
      </c>
      <c r="D260" s="77">
        <v>174</v>
      </c>
      <c r="E260" s="78"/>
      <c r="F260" s="46"/>
      <c r="G260" s="47">
        <f t="shared" si="46"/>
        <v>0</v>
      </c>
      <c r="I260" s="109">
        <f>0.222*D260*6</f>
        <v>231.768</v>
      </c>
      <c r="J260" s="19">
        <f>25.8*2+12.975*2+16.275+6.6</f>
        <v>100.42499999999998</v>
      </c>
      <c r="K260" s="19">
        <f>J260/0.1</f>
        <v>1004.2499999999998</v>
      </c>
      <c r="L260" s="19">
        <f>K260/4</f>
        <v>251.06249999999994</v>
      </c>
    </row>
    <row r="261" spans="1:12" x14ac:dyDescent="0.2">
      <c r="A261" s="111"/>
      <c r="B261" s="112" t="s">
        <v>13</v>
      </c>
      <c r="C261" s="113" t="s">
        <v>9</v>
      </c>
      <c r="D261" s="77">
        <f>D257*20</f>
        <v>59.300640000000008</v>
      </c>
      <c r="E261" s="78"/>
      <c r="F261" s="46"/>
      <c r="G261" s="47">
        <f t="shared" si="46"/>
        <v>0</v>
      </c>
      <c r="I261" s="109">
        <f>SUM(I258:I260)</f>
        <v>2965.0320000000002</v>
      </c>
      <c r="J261" s="109"/>
    </row>
    <row r="262" spans="1:12" x14ac:dyDescent="0.2">
      <c r="A262" s="111"/>
      <c r="B262" s="112" t="s">
        <v>432</v>
      </c>
      <c r="C262" s="113" t="s">
        <v>125</v>
      </c>
      <c r="D262" s="77">
        <f>I265/1000</f>
        <v>1.2744120000000001</v>
      </c>
      <c r="E262" s="78"/>
      <c r="F262" s="46"/>
      <c r="G262" s="47">
        <f t="shared" si="46"/>
        <v>0</v>
      </c>
      <c r="I262" s="109"/>
      <c r="J262" s="109"/>
    </row>
    <row r="263" spans="1:12" x14ac:dyDescent="0.2">
      <c r="A263" s="111"/>
      <c r="B263" s="112" t="s">
        <v>206</v>
      </c>
      <c r="C263" s="113" t="s">
        <v>8</v>
      </c>
      <c r="D263" s="77">
        <v>109</v>
      </c>
      <c r="E263" s="78"/>
      <c r="F263" s="46"/>
      <c r="G263" s="47">
        <f t="shared" si="46"/>
        <v>0</v>
      </c>
      <c r="I263" s="109">
        <f>D263*1.58*6</f>
        <v>1033.32</v>
      </c>
      <c r="J263" s="19">
        <f>12.7</f>
        <v>12.7</v>
      </c>
      <c r="K263" s="19">
        <f>J263/0.15</f>
        <v>84.666666666666671</v>
      </c>
      <c r="L263" s="19">
        <f>K263/2</f>
        <v>42.333333333333336</v>
      </c>
    </row>
    <row r="264" spans="1:12" x14ac:dyDescent="0.2">
      <c r="A264" s="111"/>
      <c r="B264" s="112" t="s">
        <v>209</v>
      </c>
      <c r="C264" s="113" t="s">
        <v>8</v>
      </c>
      <c r="D264" s="77">
        <v>181</v>
      </c>
      <c r="E264" s="78"/>
      <c r="F264" s="46"/>
      <c r="G264" s="47">
        <f t="shared" si="46"/>
        <v>0</v>
      </c>
      <c r="I264" s="109">
        <f>0.222*D264*6</f>
        <v>241.09200000000001</v>
      </c>
      <c r="J264" s="19">
        <f>25.8*2+12.975*2+16.275+6.6</f>
        <v>100.42499999999998</v>
      </c>
      <c r="K264" s="19">
        <f>J264/0.1</f>
        <v>1004.2499999999998</v>
      </c>
      <c r="L264" s="19">
        <f>K264/4</f>
        <v>251.06249999999994</v>
      </c>
    </row>
    <row r="265" spans="1:12" x14ac:dyDescent="0.2">
      <c r="A265" s="111"/>
      <c r="B265" s="112" t="s">
        <v>13</v>
      </c>
      <c r="C265" s="113" t="s">
        <v>9</v>
      </c>
      <c r="D265" s="77">
        <f>D262*20</f>
        <v>25.488240000000001</v>
      </c>
      <c r="E265" s="78"/>
      <c r="F265" s="46"/>
      <c r="G265" s="47">
        <f t="shared" si="46"/>
        <v>0</v>
      </c>
      <c r="I265" s="109">
        <f>SUM(I263:I264)</f>
        <v>1274.412</v>
      </c>
      <c r="J265" s="109"/>
    </row>
    <row r="266" spans="1:12" x14ac:dyDescent="0.2">
      <c r="A266" s="111"/>
      <c r="B266" s="112" t="s">
        <v>433</v>
      </c>
      <c r="C266" s="113" t="s">
        <v>125</v>
      </c>
      <c r="D266" s="77">
        <f>I269/1000</f>
        <v>1.62279</v>
      </c>
      <c r="E266" s="78"/>
      <c r="F266" s="46"/>
      <c r="G266" s="47">
        <f t="shared" si="46"/>
        <v>0</v>
      </c>
      <c r="I266" s="109"/>
      <c r="J266" s="109"/>
    </row>
    <row r="267" spans="1:12" x14ac:dyDescent="0.2">
      <c r="A267" s="111"/>
      <c r="B267" s="112" t="s">
        <v>260</v>
      </c>
      <c r="C267" s="113" t="s">
        <v>8</v>
      </c>
      <c r="D267" s="77">
        <v>93</v>
      </c>
      <c r="E267" s="78"/>
      <c r="F267" s="46"/>
      <c r="G267" s="47">
        <f t="shared" si="46"/>
        <v>0</v>
      </c>
      <c r="I267" s="109">
        <f>D267*2.469*6</f>
        <v>1377.702</v>
      </c>
      <c r="J267" s="109">
        <f>6.1*3</f>
        <v>18.299999999999997</v>
      </c>
      <c r="K267" s="137">
        <f>J267/0.1</f>
        <v>182.99999999999997</v>
      </c>
      <c r="L267" s="137">
        <f>K267/4</f>
        <v>45.749999999999993</v>
      </c>
    </row>
    <row r="268" spans="1:12" x14ac:dyDescent="0.2">
      <c r="A268" s="111"/>
      <c r="B268" s="112" t="s">
        <v>209</v>
      </c>
      <c r="C268" s="113" t="s">
        <v>8</v>
      </c>
      <c r="D268" s="77">
        <v>184</v>
      </c>
      <c r="E268" s="78"/>
      <c r="F268" s="46"/>
      <c r="G268" s="47">
        <f t="shared" si="46"/>
        <v>0</v>
      </c>
      <c r="I268" s="109">
        <f>0.222*D268*6</f>
        <v>245.08799999999999</v>
      </c>
      <c r="J268" s="109"/>
    </row>
    <row r="269" spans="1:12" x14ac:dyDescent="0.2">
      <c r="A269" s="111"/>
      <c r="B269" s="112" t="s">
        <v>13</v>
      </c>
      <c r="C269" s="113" t="s">
        <v>9</v>
      </c>
      <c r="D269" s="77">
        <f>D266*20</f>
        <v>32.455799999999996</v>
      </c>
      <c r="E269" s="78"/>
      <c r="F269" s="46"/>
      <c r="G269" s="47">
        <f t="shared" si="46"/>
        <v>0</v>
      </c>
      <c r="I269" s="109">
        <f>SUM(I267:I268)</f>
        <v>1622.79</v>
      </c>
      <c r="J269" s="109"/>
    </row>
    <row r="270" spans="1:12" x14ac:dyDescent="0.2">
      <c r="A270" s="111"/>
      <c r="B270" s="112" t="s">
        <v>369</v>
      </c>
      <c r="C270" s="113" t="s">
        <v>125</v>
      </c>
      <c r="D270" s="77">
        <f>I273/1000</f>
        <v>1.038708</v>
      </c>
      <c r="E270" s="78"/>
      <c r="F270" s="46"/>
      <c r="G270" s="47">
        <f t="shared" ref="G270:G273" si="47">(D270*E270)+(D270*F270)</f>
        <v>0</v>
      </c>
      <c r="I270" s="109"/>
      <c r="J270" s="109"/>
    </row>
    <row r="271" spans="1:12" x14ac:dyDescent="0.2">
      <c r="A271" s="111"/>
      <c r="B271" s="112" t="s">
        <v>260</v>
      </c>
      <c r="C271" s="113" t="s">
        <v>8</v>
      </c>
      <c r="D271" s="77">
        <v>56</v>
      </c>
      <c r="E271" s="78"/>
      <c r="F271" s="46"/>
      <c r="G271" s="47">
        <f t="shared" si="47"/>
        <v>0</v>
      </c>
      <c r="I271" s="109">
        <f>D271*2.469*6</f>
        <v>829.58399999999983</v>
      </c>
      <c r="J271" s="109">
        <f>6.1*3</f>
        <v>18.299999999999997</v>
      </c>
      <c r="K271" s="137">
        <f>J271/0.1</f>
        <v>182.99999999999997</v>
      </c>
      <c r="L271" s="137">
        <f>K271/4</f>
        <v>45.749999999999993</v>
      </c>
    </row>
    <row r="272" spans="1:12" x14ac:dyDescent="0.2">
      <c r="A272" s="111"/>
      <c r="B272" s="112" t="s">
        <v>209</v>
      </c>
      <c r="C272" s="113" t="s">
        <v>8</v>
      </c>
      <c r="D272" s="77">
        <v>157</v>
      </c>
      <c r="E272" s="78"/>
      <c r="F272" s="46"/>
      <c r="G272" s="47">
        <f t="shared" si="47"/>
        <v>0</v>
      </c>
      <c r="I272" s="109">
        <f>0.222*D272*6</f>
        <v>209.124</v>
      </c>
      <c r="J272" s="109"/>
    </row>
    <row r="273" spans="1:18" x14ac:dyDescent="0.2">
      <c r="A273" s="111"/>
      <c r="B273" s="112" t="s">
        <v>13</v>
      </c>
      <c r="C273" s="113" t="s">
        <v>9</v>
      </c>
      <c r="D273" s="77">
        <f>D270*20</f>
        <v>20.774159999999998</v>
      </c>
      <c r="E273" s="78"/>
      <c r="F273" s="46"/>
      <c r="G273" s="47">
        <f t="shared" si="47"/>
        <v>0</v>
      </c>
      <c r="I273" s="109">
        <f>SUM(I271:I272)</f>
        <v>1038.7079999999999</v>
      </c>
      <c r="J273" s="109"/>
    </row>
    <row r="274" spans="1:18" x14ac:dyDescent="0.2">
      <c r="A274" s="138" t="s">
        <v>154</v>
      </c>
      <c r="B274" s="139" t="s">
        <v>256</v>
      </c>
      <c r="C274" s="140" t="s">
        <v>125</v>
      </c>
      <c r="D274" s="141">
        <f>I277/1000</f>
        <v>4.4342280000000001</v>
      </c>
      <c r="E274" s="142"/>
      <c r="F274" s="46"/>
      <c r="G274" s="47">
        <f t="shared" ref="G274:G277" si="48">(D274*E274)+(D274*F274)</f>
        <v>0</v>
      </c>
      <c r="H274" s="143"/>
      <c r="I274" s="144"/>
      <c r="J274" s="19">
        <v>248.05</v>
      </c>
      <c r="K274" s="19">
        <f>J274*15.34</f>
        <v>3805.087</v>
      </c>
      <c r="L274" s="19">
        <f>K274*75%</f>
        <v>2853.8152500000001</v>
      </c>
      <c r="M274" s="19">
        <f>SUM(K274:L274)</f>
        <v>6658.9022500000001</v>
      </c>
      <c r="N274" s="19">
        <f>M274/6</f>
        <v>1109.8170416666667</v>
      </c>
      <c r="R274" s="19">
        <f>Q274/6</f>
        <v>0</v>
      </c>
    </row>
    <row r="275" spans="1:18" x14ac:dyDescent="0.2">
      <c r="A275" s="145" t="s">
        <v>162</v>
      </c>
      <c r="B275" s="112" t="s">
        <v>208</v>
      </c>
      <c r="C275" s="146" t="s">
        <v>8</v>
      </c>
      <c r="D275" s="147">
        <v>1110</v>
      </c>
      <c r="E275" s="148"/>
      <c r="F275" s="149"/>
      <c r="G275" s="47">
        <f t="shared" si="48"/>
        <v>0</v>
      </c>
      <c r="H275" s="143"/>
      <c r="I275" s="109">
        <f>0.617*D275*6</f>
        <v>4109.22</v>
      </c>
    </row>
    <row r="276" spans="1:18" x14ac:dyDescent="0.2">
      <c r="A276" s="145"/>
      <c r="B276" s="112" t="s">
        <v>207</v>
      </c>
      <c r="C276" s="146" t="s">
        <v>8</v>
      </c>
      <c r="D276" s="147">
        <v>61</v>
      </c>
      <c r="E276" s="148"/>
      <c r="F276" s="149"/>
      <c r="G276" s="47">
        <f t="shared" ref="G276" si="49">(D276*E276)+(D276*F276)</f>
        <v>0</v>
      </c>
      <c r="H276" s="143"/>
      <c r="I276" s="109">
        <f>0.888*D276*6</f>
        <v>325.00799999999998</v>
      </c>
    </row>
    <row r="277" spans="1:18" x14ac:dyDescent="0.2">
      <c r="A277" s="145"/>
      <c r="B277" s="150" t="s">
        <v>13</v>
      </c>
      <c r="C277" s="146" t="s">
        <v>9</v>
      </c>
      <c r="D277" s="147">
        <f>D274*20</f>
        <v>88.684560000000005</v>
      </c>
      <c r="E277" s="148"/>
      <c r="F277" s="149"/>
      <c r="G277" s="47">
        <f t="shared" si="48"/>
        <v>0</v>
      </c>
      <c r="H277" s="143"/>
      <c r="I277" s="109">
        <f>SUM(I275:I276)</f>
        <v>4434.2280000000001</v>
      </c>
    </row>
    <row r="278" spans="1:18" x14ac:dyDescent="0.2">
      <c r="A278" s="138" t="s">
        <v>163</v>
      </c>
      <c r="B278" s="139" t="s">
        <v>159</v>
      </c>
      <c r="C278" s="140"/>
      <c r="D278" s="141"/>
      <c r="E278" s="142"/>
      <c r="F278" s="46"/>
      <c r="G278" s="47"/>
    </row>
    <row r="279" spans="1:18" x14ac:dyDescent="0.2">
      <c r="A279" s="111"/>
      <c r="B279" s="112" t="s">
        <v>410</v>
      </c>
      <c r="C279" s="113" t="s">
        <v>125</v>
      </c>
      <c r="D279" s="77">
        <f>I282/1000</f>
        <v>3.6447839999999996</v>
      </c>
      <c r="E279" s="78"/>
      <c r="F279" s="46"/>
      <c r="G279" s="47">
        <f t="shared" ref="G279:G286" si="50">(D279*E279)+(D279*F279)</f>
        <v>0</v>
      </c>
    </row>
    <row r="280" spans="1:18" x14ac:dyDescent="0.2">
      <c r="A280" s="114"/>
      <c r="B280" s="112" t="s">
        <v>260</v>
      </c>
      <c r="C280" s="113" t="s">
        <v>8</v>
      </c>
      <c r="D280" s="77">
        <v>200</v>
      </c>
      <c r="E280" s="78"/>
      <c r="F280" s="46"/>
      <c r="G280" s="47">
        <f t="shared" si="50"/>
        <v>0</v>
      </c>
      <c r="I280" s="109">
        <f>D280*2.469*6</f>
        <v>2962.7999999999997</v>
      </c>
      <c r="J280" s="19">
        <f>4*5</f>
        <v>20</v>
      </c>
      <c r="L280" s="19">
        <f>3.36/0.15</f>
        <v>22.4</v>
      </c>
      <c r="M280" s="19">
        <f>L280*5</f>
        <v>112</v>
      </c>
      <c r="N280" s="19">
        <f>M280/8</f>
        <v>14</v>
      </c>
    </row>
    <row r="281" spans="1:18" x14ac:dyDescent="0.2">
      <c r="A281" s="111"/>
      <c r="B281" s="112" t="s">
        <v>209</v>
      </c>
      <c r="C281" s="113" t="s">
        <v>8</v>
      </c>
      <c r="D281" s="77">
        <v>512</v>
      </c>
      <c r="E281" s="78"/>
      <c r="F281" s="46"/>
      <c r="G281" s="47">
        <f t="shared" si="50"/>
        <v>0</v>
      </c>
      <c r="I281" s="109">
        <f>0.222*D281*6</f>
        <v>681.98400000000004</v>
      </c>
    </row>
    <row r="282" spans="1:18" x14ac:dyDescent="0.2">
      <c r="A282" s="111"/>
      <c r="B282" s="112" t="s">
        <v>13</v>
      </c>
      <c r="C282" s="113" t="s">
        <v>9</v>
      </c>
      <c r="D282" s="77">
        <f>D279*20</f>
        <v>72.895679999999999</v>
      </c>
      <c r="E282" s="78"/>
      <c r="F282" s="46"/>
      <c r="G282" s="47">
        <f t="shared" si="50"/>
        <v>0</v>
      </c>
      <c r="I282" s="109">
        <f>SUM(I280:I281)</f>
        <v>3644.7839999999997</v>
      </c>
      <c r="J282" s="109"/>
    </row>
    <row r="283" spans="1:18" x14ac:dyDescent="0.2">
      <c r="A283" s="111"/>
      <c r="B283" s="112" t="s">
        <v>415</v>
      </c>
      <c r="C283" s="113" t="s">
        <v>125</v>
      </c>
      <c r="D283" s="77">
        <f>I286/1000</f>
        <v>1.5650279999999999</v>
      </c>
      <c r="E283" s="78"/>
      <c r="F283" s="46"/>
      <c r="G283" s="47">
        <f t="shared" si="50"/>
        <v>0</v>
      </c>
      <c r="I283" s="109"/>
      <c r="J283" s="109"/>
    </row>
    <row r="284" spans="1:18" ht="12.75" thickBot="1" x14ac:dyDescent="0.25">
      <c r="A284" s="121"/>
      <c r="B284" s="122" t="s">
        <v>260</v>
      </c>
      <c r="C284" s="123" t="s">
        <v>8</v>
      </c>
      <c r="D284" s="124">
        <v>90</v>
      </c>
      <c r="E284" s="151"/>
      <c r="F284" s="125"/>
      <c r="G284" s="126">
        <f t="shared" ref="G284" si="51">(D284*E284)+(D284*F284)</f>
        <v>0</v>
      </c>
      <c r="I284" s="109">
        <f>D284*2.469*6</f>
        <v>1333.2599999999998</v>
      </c>
      <c r="J284" s="19">
        <v>180</v>
      </c>
      <c r="L284" s="19">
        <f>23*18</f>
        <v>414</v>
      </c>
      <c r="M284" s="19">
        <f>L284/2</f>
        <v>207</v>
      </c>
      <c r="N284" s="19">
        <f>L284*2</f>
        <v>828</v>
      </c>
      <c r="O284" s="19">
        <f>N284-M284*2</f>
        <v>414</v>
      </c>
      <c r="P284" s="19">
        <f>O284/4</f>
        <v>103.5</v>
      </c>
      <c r="Q284" s="19">
        <f>P284+M284</f>
        <v>310.5</v>
      </c>
    </row>
    <row r="285" spans="1:18" x14ac:dyDescent="0.2">
      <c r="A285" s="352"/>
      <c r="B285" s="353" t="s">
        <v>209</v>
      </c>
      <c r="C285" s="288" t="s">
        <v>8</v>
      </c>
      <c r="D285" s="289">
        <v>174</v>
      </c>
      <c r="E285" s="290"/>
      <c r="F285" s="159"/>
      <c r="G285" s="160">
        <f t="shared" si="50"/>
        <v>0</v>
      </c>
      <c r="I285" s="109">
        <f>0.222*D285*6</f>
        <v>231.768</v>
      </c>
    </row>
    <row r="286" spans="1:18" x14ac:dyDescent="0.2">
      <c r="A286" s="111"/>
      <c r="B286" s="112" t="s">
        <v>13</v>
      </c>
      <c r="C286" s="113" t="s">
        <v>9</v>
      </c>
      <c r="D286" s="77">
        <f>D283*20</f>
        <v>31.300559999999997</v>
      </c>
      <c r="E286" s="78"/>
      <c r="F286" s="46"/>
      <c r="G286" s="47">
        <f t="shared" si="50"/>
        <v>0</v>
      </c>
      <c r="I286" s="109">
        <f>SUM(I284:I285)</f>
        <v>1565.0279999999998</v>
      </c>
      <c r="J286" s="109"/>
    </row>
    <row r="287" spans="1:18" x14ac:dyDescent="0.2">
      <c r="A287" s="111"/>
      <c r="B287" s="112"/>
      <c r="C287" s="113"/>
      <c r="D287" s="77"/>
      <c r="E287" s="78"/>
      <c r="F287" s="46"/>
      <c r="G287" s="47"/>
      <c r="I287" s="109"/>
      <c r="J287" s="109"/>
    </row>
    <row r="288" spans="1:18" x14ac:dyDescent="0.2">
      <c r="A288" s="114" t="s">
        <v>164</v>
      </c>
      <c r="B288" s="115" t="s">
        <v>264</v>
      </c>
      <c r="C288" s="116"/>
      <c r="D288" s="117"/>
      <c r="E288" s="118"/>
      <c r="F288" s="46"/>
      <c r="G288" s="47">
        <f t="shared" ref="G288" si="52">(D288*E288)+(D288*F288)</f>
        <v>0</v>
      </c>
      <c r="J288" s="109"/>
    </row>
    <row r="289" spans="1:15" ht="24" x14ac:dyDescent="0.2">
      <c r="A289" s="111"/>
      <c r="B289" s="112" t="s">
        <v>449</v>
      </c>
      <c r="C289" s="113" t="s">
        <v>125</v>
      </c>
      <c r="D289" s="77">
        <f>I291/1000</f>
        <v>0.56270399999999998</v>
      </c>
      <c r="E289" s="31"/>
      <c r="F289" s="46"/>
      <c r="G289" s="47">
        <f>(D289*E289)+(D289*F289)</f>
        <v>0</v>
      </c>
    </row>
    <row r="290" spans="1:15" x14ac:dyDescent="0.2">
      <c r="A290" s="114"/>
      <c r="B290" s="112" t="s">
        <v>208</v>
      </c>
      <c r="C290" s="146" t="s">
        <v>8</v>
      </c>
      <c r="D290" s="147">
        <v>152</v>
      </c>
      <c r="E290" s="148"/>
      <c r="F290" s="149"/>
      <c r="G290" s="47">
        <f t="shared" ref="G290:G291" si="53">(D290*E290)+(D290*F290)</f>
        <v>0</v>
      </c>
      <c r="H290" s="143"/>
      <c r="I290" s="109">
        <f>0.617*D290*6</f>
        <v>562.70399999999995</v>
      </c>
      <c r="K290" s="19">
        <f>18.25+13.5*2+1.2*2</f>
        <v>47.65</v>
      </c>
      <c r="L290" s="19">
        <f>K290/0.15</f>
        <v>317.66666666666669</v>
      </c>
      <c r="M290" s="19">
        <f>L290/4</f>
        <v>79.416666666666671</v>
      </c>
      <c r="N290" s="19">
        <v>72</v>
      </c>
      <c r="O290" s="19">
        <f>SUM(M290:N290)</f>
        <v>151.41666666666669</v>
      </c>
    </row>
    <row r="291" spans="1:15" x14ac:dyDescent="0.2">
      <c r="A291" s="111"/>
      <c r="B291" s="150" t="s">
        <v>13</v>
      </c>
      <c r="C291" s="146" t="s">
        <v>9</v>
      </c>
      <c r="D291" s="147">
        <f>D289*20</f>
        <v>11.25408</v>
      </c>
      <c r="E291" s="148"/>
      <c r="F291" s="149"/>
      <c r="G291" s="47">
        <f t="shared" si="53"/>
        <v>0</v>
      </c>
      <c r="H291" s="143"/>
      <c r="I291" s="109">
        <f>SUM(I290:I290)</f>
        <v>562.70399999999995</v>
      </c>
    </row>
    <row r="292" spans="1:15" x14ac:dyDescent="0.2">
      <c r="A292" s="102" t="s">
        <v>533</v>
      </c>
      <c r="B292" s="103" t="s">
        <v>239</v>
      </c>
      <c r="C292" s="132"/>
      <c r="D292" s="133"/>
      <c r="E292" s="134"/>
      <c r="F292" s="135"/>
      <c r="G292" s="136"/>
    </row>
    <row r="293" spans="1:15" x14ac:dyDescent="0.2">
      <c r="A293" s="138" t="s">
        <v>153</v>
      </c>
      <c r="B293" s="139" t="s">
        <v>259</v>
      </c>
      <c r="C293" s="140"/>
      <c r="D293" s="141"/>
      <c r="E293" s="142"/>
      <c r="F293" s="46"/>
      <c r="G293" s="47"/>
    </row>
    <row r="294" spans="1:15" x14ac:dyDescent="0.2">
      <c r="A294" s="111"/>
      <c r="B294" s="112" t="s">
        <v>434</v>
      </c>
      <c r="C294" s="113" t="s">
        <v>125</v>
      </c>
      <c r="D294" s="77">
        <f>I297/1000</f>
        <v>6.948156</v>
      </c>
      <c r="E294" s="78"/>
      <c r="F294" s="46"/>
      <c r="G294" s="47">
        <f t="shared" ref="G294" si="54">(D294*E294)+(D294*F294)</f>
        <v>0</v>
      </c>
    </row>
    <row r="295" spans="1:15" x14ac:dyDescent="0.2">
      <c r="A295" s="114"/>
      <c r="B295" s="112" t="s">
        <v>261</v>
      </c>
      <c r="C295" s="113" t="s">
        <v>8</v>
      </c>
      <c r="D295" s="77">
        <v>217</v>
      </c>
      <c r="E295" s="78"/>
      <c r="F295" s="46"/>
      <c r="G295" s="47">
        <f t="shared" ref="G295:G297" si="55">(D295*E295)+(D295*F295)</f>
        <v>0</v>
      </c>
      <c r="I295" s="109">
        <f>D295*3.858*6</f>
        <v>5023.116</v>
      </c>
      <c r="J295" s="19">
        <f>48*9</f>
        <v>432</v>
      </c>
    </row>
    <row r="296" spans="1:15" x14ac:dyDescent="0.2">
      <c r="A296" s="111"/>
      <c r="B296" s="112" t="s">
        <v>208</v>
      </c>
      <c r="C296" s="146" t="s">
        <v>8</v>
      </c>
      <c r="D296" s="147">
        <v>520</v>
      </c>
      <c r="E296" s="148"/>
      <c r="F296" s="149"/>
      <c r="G296" s="47">
        <f t="shared" si="55"/>
        <v>0</v>
      </c>
      <c r="H296" s="143"/>
      <c r="I296" s="109">
        <f>0.617*D296*6</f>
        <v>1925.04</v>
      </c>
      <c r="J296" s="19">
        <f>32.2*2.2</f>
        <v>70.840000000000018</v>
      </c>
    </row>
    <row r="297" spans="1:15" x14ac:dyDescent="0.2">
      <c r="A297" s="111"/>
      <c r="B297" s="112" t="s">
        <v>13</v>
      </c>
      <c r="C297" s="113" t="s">
        <v>9</v>
      </c>
      <c r="D297" s="77">
        <f>D294*20</f>
        <v>138.96312</v>
      </c>
      <c r="E297" s="78"/>
      <c r="F297" s="46"/>
      <c r="G297" s="47">
        <f t="shared" si="55"/>
        <v>0</v>
      </c>
      <c r="I297" s="109">
        <f>SUM(I295:I296)</f>
        <v>6948.1559999999999</v>
      </c>
      <c r="J297" s="109"/>
    </row>
    <row r="298" spans="1:15" x14ac:dyDescent="0.2">
      <c r="A298" s="111"/>
      <c r="B298" s="112" t="s">
        <v>435</v>
      </c>
      <c r="C298" s="113" t="s">
        <v>125</v>
      </c>
      <c r="D298" s="77">
        <f>I301/1000</f>
        <v>1.00332</v>
      </c>
      <c r="E298" s="78"/>
      <c r="F298" s="46"/>
      <c r="G298" s="47">
        <f t="shared" ref="G298:G301" si="56">(D298*E298)+(D298*F298)</f>
        <v>0</v>
      </c>
    </row>
    <row r="299" spans="1:15" x14ac:dyDescent="0.2">
      <c r="A299" s="111"/>
      <c r="B299" s="112" t="s">
        <v>206</v>
      </c>
      <c r="C299" s="113" t="s">
        <v>8</v>
      </c>
      <c r="D299" s="77">
        <v>96</v>
      </c>
      <c r="E299" s="78"/>
      <c r="F299" s="46"/>
      <c r="G299" s="47">
        <f t="shared" si="56"/>
        <v>0</v>
      </c>
      <c r="I299" s="109">
        <f>D299*1.58*6</f>
        <v>910.08</v>
      </c>
      <c r="J299" s="19">
        <f>12.7</f>
        <v>12.7</v>
      </c>
      <c r="K299" s="19">
        <f>J299/0.15</f>
        <v>84.666666666666671</v>
      </c>
      <c r="L299" s="19">
        <f>K299/2</f>
        <v>42.333333333333336</v>
      </c>
    </row>
    <row r="300" spans="1:15" x14ac:dyDescent="0.2">
      <c r="A300" s="111"/>
      <c r="B300" s="112" t="s">
        <v>209</v>
      </c>
      <c r="C300" s="113" t="s">
        <v>8</v>
      </c>
      <c r="D300" s="77">
        <v>70</v>
      </c>
      <c r="E300" s="78"/>
      <c r="F300" s="46"/>
      <c r="G300" s="47">
        <f t="shared" si="56"/>
        <v>0</v>
      </c>
      <c r="I300" s="109">
        <f>0.222*D300*6</f>
        <v>93.240000000000009</v>
      </c>
      <c r="J300" s="19">
        <f>25.8*2+12.975*2+16.275+6.6</f>
        <v>100.42499999999998</v>
      </c>
      <c r="K300" s="19">
        <f>J300/0.1</f>
        <v>1004.2499999999998</v>
      </c>
      <c r="L300" s="19">
        <f>K300/4</f>
        <v>251.06249999999994</v>
      </c>
    </row>
    <row r="301" spans="1:15" x14ac:dyDescent="0.2">
      <c r="A301" s="111"/>
      <c r="B301" s="112" t="s">
        <v>13</v>
      </c>
      <c r="C301" s="113" t="s">
        <v>9</v>
      </c>
      <c r="D301" s="77">
        <f>D298*20</f>
        <v>20.066400000000002</v>
      </c>
      <c r="E301" s="78"/>
      <c r="F301" s="46"/>
      <c r="G301" s="47">
        <f t="shared" si="56"/>
        <v>0</v>
      </c>
      <c r="I301" s="109">
        <f>SUM(I299:I300)</f>
        <v>1003.32</v>
      </c>
      <c r="J301" s="109"/>
    </row>
    <row r="302" spans="1:15" x14ac:dyDescent="0.2">
      <c r="A302" s="111"/>
      <c r="B302" s="112" t="s">
        <v>437</v>
      </c>
      <c r="C302" s="113" t="s">
        <v>125</v>
      </c>
      <c r="D302" s="77">
        <f>I305/1000</f>
        <v>1.0110839999999999</v>
      </c>
      <c r="E302" s="78"/>
      <c r="F302" s="46"/>
      <c r="G302" s="47">
        <f t="shared" ref="G302:G305" si="57">(D302*E302)+(D302*F302)</f>
        <v>0</v>
      </c>
    </row>
    <row r="303" spans="1:15" x14ac:dyDescent="0.2">
      <c r="A303" s="111"/>
      <c r="B303" s="112" t="s">
        <v>206</v>
      </c>
      <c r="C303" s="113" t="s">
        <v>8</v>
      </c>
      <c r="D303" s="77">
        <v>86</v>
      </c>
      <c r="E303" s="78"/>
      <c r="F303" s="46"/>
      <c r="G303" s="47">
        <f t="shared" si="57"/>
        <v>0</v>
      </c>
      <c r="I303" s="109">
        <f>D303*1.58*6</f>
        <v>815.28</v>
      </c>
      <c r="J303" s="19">
        <f>12.7</f>
        <v>12.7</v>
      </c>
      <c r="K303" s="19">
        <f>J303/0.15</f>
        <v>84.666666666666671</v>
      </c>
      <c r="L303" s="19">
        <f>K303/2</f>
        <v>42.333333333333336</v>
      </c>
    </row>
    <row r="304" spans="1:15" x14ac:dyDescent="0.2">
      <c r="A304" s="111"/>
      <c r="B304" s="112" t="s">
        <v>209</v>
      </c>
      <c r="C304" s="113" t="s">
        <v>8</v>
      </c>
      <c r="D304" s="77">
        <v>147</v>
      </c>
      <c r="E304" s="78"/>
      <c r="F304" s="46"/>
      <c r="G304" s="47">
        <f t="shared" si="57"/>
        <v>0</v>
      </c>
      <c r="I304" s="109">
        <f>0.222*D304*6</f>
        <v>195.804</v>
      </c>
      <c r="J304" s="19">
        <f>25.8*2+12.975*2+16.275+6.6</f>
        <v>100.42499999999998</v>
      </c>
      <c r="K304" s="19">
        <f>J304/0.1</f>
        <v>1004.2499999999998</v>
      </c>
      <c r="L304" s="19">
        <f>K304/4</f>
        <v>251.06249999999994</v>
      </c>
    </row>
    <row r="305" spans="1:16" x14ac:dyDescent="0.2">
      <c r="A305" s="111"/>
      <c r="B305" s="112" t="s">
        <v>13</v>
      </c>
      <c r="C305" s="113" t="s">
        <v>9</v>
      </c>
      <c r="D305" s="77">
        <f>D302*20</f>
        <v>20.221679999999999</v>
      </c>
      <c r="E305" s="78"/>
      <c r="F305" s="46"/>
      <c r="G305" s="47">
        <f t="shared" si="57"/>
        <v>0</v>
      </c>
      <c r="I305" s="109">
        <f>SUM(I303:I304)</f>
        <v>1011.0839999999999</v>
      </c>
      <c r="J305" s="109"/>
    </row>
    <row r="306" spans="1:16" x14ac:dyDescent="0.2">
      <c r="A306" s="111"/>
      <c r="B306" s="112" t="s">
        <v>436</v>
      </c>
      <c r="C306" s="113" t="s">
        <v>125</v>
      </c>
      <c r="D306" s="77">
        <f>I309/1000</f>
        <v>1.096392</v>
      </c>
      <c r="E306" s="78"/>
      <c r="F306" s="46"/>
      <c r="G306" s="47">
        <f t="shared" ref="G306:G309" si="58">(D306*E306)+(D306*F306)</f>
        <v>0</v>
      </c>
    </row>
    <row r="307" spans="1:16" x14ac:dyDescent="0.2">
      <c r="A307" s="111"/>
      <c r="B307" s="112" t="s">
        <v>206</v>
      </c>
      <c r="C307" s="113" t="s">
        <v>8</v>
      </c>
      <c r="D307" s="77">
        <v>112</v>
      </c>
      <c r="E307" s="78"/>
      <c r="F307" s="46"/>
      <c r="G307" s="47">
        <f t="shared" si="58"/>
        <v>0</v>
      </c>
      <c r="I307" s="109">
        <f>D307*1.58*6</f>
        <v>1061.76</v>
      </c>
    </row>
    <row r="308" spans="1:16" x14ac:dyDescent="0.2">
      <c r="A308" s="111"/>
      <c r="B308" s="112" t="s">
        <v>209</v>
      </c>
      <c r="C308" s="113" t="s">
        <v>8</v>
      </c>
      <c r="D308" s="77">
        <v>26</v>
      </c>
      <c r="E308" s="78"/>
      <c r="F308" s="46"/>
      <c r="G308" s="47">
        <f t="shared" si="58"/>
        <v>0</v>
      </c>
      <c r="I308" s="109">
        <f>0.222*D308*6</f>
        <v>34.632000000000005</v>
      </c>
    </row>
    <row r="309" spans="1:16" x14ac:dyDescent="0.2">
      <c r="A309" s="111"/>
      <c r="B309" s="112" t="s">
        <v>13</v>
      </c>
      <c r="C309" s="113" t="s">
        <v>9</v>
      </c>
      <c r="D309" s="77">
        <f>D306*20</f>
        <v>21.92784</v>
      </c>
      <c r="E309" s="78"/>
      <c r="F309" s="46"/>
      <c r="G309" s="47">
        <f t="shared" si="58"/>
        <v>0</v>
      </c>
      <c r="I309" s="109">
        <f>SUM(I307:I308)</f>
        <v>1096.3920000000001</v>
      </c>
      <c r="J309" s="109"/>
    </row>
    <row r="310" spans="1:16" ht="15.75" customHeight="1" x14ac:dyDescent="0.2">
      <c r="A310" s="138" t="s">
        <v>154</v>
      </c>
      <c r="B310" s="139" t="s">
        <v>256</v>
      </c>
      <c r="C310" s="140" t="s">
        <v>125</v>
      </c>
      <c r="D310" s="141">
        <f>I312/1000</f>
        <v>0.84405599999999992</v>
      </c>
      <c r="E310" s="142"/>
      <c r="F310" s="46"/>
      <c r="G310" s="47">
        <f t="shared" ref="G310:G313" si="59">(D310*E310)+(D310*F310)</f>
        <v>0</v>
      </c>
      <c r="H310" s="143"/>
      <c r="I310" s="144"/>
    </row>
    <row r="311" spans="1:16" x14ac:dyDescent="0.2">
      <c r="A311" s="145" t="s">
        <v>162</v>
      </c>
      <c r="B311" s="112" t="s">
        <v>208</v>
      </c>
      <c r="C311" s="146" t="s">
        <v>8</v>
      </c>
      <c r="D311" s="147">
        <v>228</v>
      </c>
      <c r="E311" s="148"/>
      <c r="F311" s="149"/>
      <c r="G311" s="47">
        <f t="shared" si="59"/>
        <v>0</v>
      </c>
      <c r="H311" s="143"/>
      <c r="I311" s="109">
        <f>0.617*D311*6</f>
        <v>844.05599999999993</v>
      </c>
      <c r="K311" s="19">
        <f>I202</f>
        <v>50.934999999999995</v>
      </c>
      <c r="L311" s="19">
        <f>K311*15.34</f>
        <v>781.34289999999987</v>
      </c>
      <c r="M311" s="19">
        <f>L311*75%</f>
        <v>586.00717499999996</v>
      </c>
      <c r="N311" s="19">
        <f>SUM(L311:M311)</f>
        <v>1367.3500749999998</v>
      </c>
      <c r="O311" s="19">
        <f>N311/6</f>
        <v>227.89167916666665</v>
      </c>
    </row>
    <row r="312" spans="1:16" x14ac:dyDescent="0.2">
      <c r="A312" s="145"/>
      <c r="B312" s="150" t="s">
        <v>13</v>
      </c>
      <c r="C312" s="146" t="s">
        <v>9</v>
      </c>
      <c r="D312" s="147">
        <f>D310*20</f>
        <v>16.881119999999999</v>
      </c>
      <c r="E312" s="148"/>
      <c r="F312" s="149"/>
      <c r="G312" s="47">
        <f t="shared" si="59"/>
        <v>0</v>
      </c>
      <c r="H312" s="143"/>
      <c r="I312" s="109">
        <f>SUM(I311:I311)</f>
        <v>844.05599999999993</v>
      </c>
    </row>
    <row r="313" spans="1:16" x14ac:dyDescent="0.2">
      <c r="A313" s="114" t="s">
        <v>163</v>
      </c>
      <c r="B313" s="115" t="s">
        <v>264</v>
      </c>
      <c r="C313" s="116"/>
      <c r="D313" s="117"/>
      <c r="E313" s="118"/>
      <c r="F313" s="46"/>
      <c r="G313" s="47">
        <f t="shared" si="59"/>
        <v>0</v>
      </c>
    </row>
    <row r="314" spans="1:16" ht="24" x14ac:dyDescent="0.2">
      <c r="A314" s="111"/>
      <c r="B314" s="112" t="s">
        <v>438</v>
      </c>
      <c r="C314" s="113" t="s">
        <v>125</v>
      </c>
      <c r="D314" s="77">
        <f>I316/1000</f>
        <v>0.53308800000000001</v>
      </c>
      <c r="E314" s="31"/>
      <c r="F314" s="46"/>
      <c r="G314" s="47">
        <f>(D314*E314)+(D314*F314)</f>
        <v>0</v>
      </c>
    </row>
    <row r="315" spans="1:16" x14ac:dyDescent="0.2">
      <c r="A315" s="114"/>
      <c r="B315" s="112" t="s">
        <v>208</v>
      </c>
      <c r="C315" s="146" t="s">
        <v>8</v>
      </c>
      <c r="D315" s="147">
        <v>144</v>
      </c>
      <c r="E315" s="148"/>
      <c r="F315" s="149"/>
      <c r="G315" s="47">
        <f t="shared" ref="G315:G316" si="60">(D315*E315)+(D315*F315)</f>
        <v>0</v>
      </c>
      <c r="H315" s="143"/>
      <c r="I315" s="109">
        <f>0.617*D315*6</f>
        <v>533.08799999999997</v>
      </c>
      <c r="K315" s="19">
        <v>39.4</v>
      </c>
      <c r="L315" s="19">
        <f>K315/0.15</f>
        <v>262.66666666666669</v>
      </c>
      <c r="M315" s="19">
        <f>L315*2</f>
        <v>525.33333333333337</v>
      </c>
      <c r="N315" s="19">
        <f>M315/6</f>
        <v>87.555555555555557</v>
      </c>
      <c r="O315" s="19">
        <v>56</v>
      </c>
      <c r="P315" s="19">
        <f>SUM(N315:O315)</f>
        <v>143.55555555555554</v>
      </c>
    </row>
    <row r="316" spans="1:16" x14ac:dyDescent="0.2">
      <c r="A316" s="111"/>
      <c r="B316" s="150" t="s">
        <v>13</v>
      </c>
      <c r="C316" s="146" t="s">
        <v>9</v>
      </c>
      <c r="D316" s="147">
        <f>D314*20</f>
        <v>10.661760000000001</v>
      </c>
      <c r="E316" s="148"/>
      <c r="F316" s="149"/>
      <c r="G316" s="47">
        <f t="shared" si="60"/>
        <v>0</v>
      </c>
      <c r="H316" s="143"/>
      <c r="I316" s="109">
        <f>SUM(I315:I315)</f>
        <v>533.08799999999997</v>
      </c>
    </row>
    <row r="317" spans="1:16" x14ac:dyDescent="0.2">
      <c r="A317" s="102" t="s">
        <v>61</v>
      </c>
      <c r="B317" s="103" t="s">
        <v>187</v>
      </c>
      <c r="C317" s="132"/>
      <c r="D317" s="133"/>
      <c r="E317" s="134"/>
      <c r="F317" s="135"/>
      <c r="G317" s="136">
        <f>(D317*E317)+(D317*F317)</f>
        <v>0</v>
      </c>
    </row>
    <row r="318" spans="1:16" x14ac:dyDescent="0.2">
      <c r="A318" s="154" t="s">
        <v>172</v>
      </c>
      <c r="B318" s="115" t="s">
        <v>262</v>
      </c>
      <c r="C318" s="113"/>
      <c r="D318" s="77"/>
      <c r="E318" s="78"/>
      <c r="F318" s="46"/>
      <c r="G318" s="47">
        <f t="shared" ref="G318:G332" si="61">(D318*E318)+(D318*F318)</f>
        <v>0</v>
      </c>
    </row>
    <row r="319" spans="1:16" ht="49.5" customHeight="1" x14ac:dyDescent="0.2">
      <c r="A319" s="155"/>
      <c r="B319" s="112" t="s">
        <v>263</v>
      </c>
      <c r="C319" s="113" t="s">
        <v>334</v>
      </c>
      <c r="D319" s="77">
        <v>18.7</v>
      </c>
      <c r="E319" s="78"/>
      <c r="F319" s="46"/>
      <c r="G319" s="47">
        <f t="shared" si="61"/>
        <v>0</v>
      </c>
      <c r="I319" s="19">
        <f>90.7*2*0.2*0.2</f>
        <v>7.2560000000000002</v>
      </c>
      <c r="J319" s="19">
        <f>0.45*0.125*90.7*2</f>
        <v>10.203750000000001</v>
      </c>
      <c r="L319" s="19">
        <f>33*0.15*0.15*1.55</f>
        <v>1.1508750000000001</v>
      </c>
      <c r="M319" s="19">
        <f>SUM(I319:L319)</f>
        <v>18.610624999999999</v>
      </c>
      <c r="O319" s="19">
        <f>12.9*2+1.2+2.36*6+2.36*14+16.07</f>
        <v>90.269999999999982</v>
      </c>
    </row>
    <row r="320" spans="1:16" ht="12" customHeight="1" x14ac:dyDescent="0.2">
      <c r="A320" s="154" t="s">
        <v>173</v>
      </c>
      <c r="B320" s="115" t="s">
        <v>264</v>
      </c>
      <c r="C320" s="113"/>
      <c r="D320" s="77"/>
      <c r="E320" s="78"/>
      <c r="F320" s="46"/>
      <c r="G320" s="47">
        <f t="shared" ref="G320:G321" si="62">(D320*E320)+(D320*F320)</f>
        <v>0</v>
      </c>
    </row>
    <row r="321" spans="1:13" ht="49.5" customHeight="1" x14ac:dyDescent="0.2">
      <c r="A321" s="155"/>
      <c r="B321" s="112" t="s">
        <v>515</v>
      </c>
      <c r="C321" s="113" t="s">
        <v>334</v>
      </c>
      <c r="D321" s="77">
        <v>2.2610000000000001</v>
      </c>
      <c r="E321" s="78"/>
      <c r="F321" s="46"/>
      <c r="G321" s="47">
        <f t="shared" si="62"/>
        <v>0</v>
      </c>
      <c r="I321" s="19">
        <f>4*6+2.6</f>
        <v>26.6</v>
      </c>
      <c r="J321" s="19">
        <f>I321*0.85*0.1</f>
        <v>2.2610000000000001</v>
      </c>
    </row>
    <row r="322" spans="1:13" ht="12" customHeight="1" x14ac:dyDescent="0.2">
      <c r="A322" s="154" t="s">
        <v>174</v>
      </c>
      <c r="B322" s="115" t="s">
        <v>308</v>
      </c>
      <c r="C322" s="113"/>
      <c r="D322" s="77"/>
      <c r="E322" s="78"/>
      <c r="F322" s="46"/>
      <c r="G322" s="47">
        <f>(D322*E322)+(D322*F322)</f>
        <v>0</v>
      </c>
    </row>
    <row r="323" spans="1:13" ht="61.5" customHeight="1" x14ac:dyDescent="0.2">
      <c r="A323" s="155"/>
      <c r="B323" s="156" t="s">
        <v>309</v>
      </c>
      <c r="C323" s="113" t="s">
        <v>334</v>
      </c>
      <c r="D323" s="157">
        <v>1.6</v>
      </c>
      <c r="E323" s="31"/>
      <c r="F323" s="46"/>
      <c r="G323" s="47">
        <f t="shared" ref="G323" si="63">(D323*E323)+(D323*F323)</f>
        <v>0</v>
      </c>
    </row>
    <row r="324" spans="1:13" ht="16.5" customHeight="1" x14ac:dyDescent="0.2">
      <c r="A324" s="154" t="s">
        <v>174</v>
      </c>
      <c r="B324" s="115" t="s">
        <v>519</v>
      </c>
      <c r="C324" s="113"/>
      <c r="D324" s="77"/>
      <c r="E324" s="78"/>
      <c r="F324" s="46"/>
      <c r="G324" s="47">
        <f>(D324*E324)+(D324*F324)</f>
        <v>0</v>
      </c>
    </row>
    <row r="325" spans="1:13" ht="36" customHeight="1" x14ac:dyDescent="0.2">
      <c r="A325" s="155"/>
      <c r="B325" s="156" t="s">
        <v>520</v>
      </c>
      <c r="C325" s="113" t="s">
        <v>334</v>
      </c>
      <c r="D325" s="157">
        <v>3.6</v>
      </c>
      <c r="E325" s="31"/>
      <c r="F325" s="46"/>
      <c r="G325" s="47">
        <f t="shared" ref="G325" si="64">(D325*E325)+(D325*F325)</f>
        <v>0</v>
      </c>
      <c r="I325" s="109">
        <f>7*2+6.4*2+7.7*2+5.2</f>
        <v>47.400000000000006</v>
      </c>
      <c r="J325" s="109">
        <f>I325*1*0.075</f>
        <v>3.5550000000000002</v>
      </c>
    </row>
    <row r="326" spans="1:13" ht="12" customHeight="1" x14ac:dyDescent="0.2">
      <c r="A326" s="155"/>
      <c r="B326" s="156"/>
      <c r="C326" s="113"/>
      <c r="D326" s="157"/>
      <c r="E326" s="31"/>
      <c r="F326" s="46"/>
      <c r="G326" s="47"/>
    </row>
    <row r="327" spans="1:13" ht="12" customHeight="1" x14ac:dyDescent="0.2">
      <c r="A327" s="155"/>
      <c r="B327" s="156"/>
      <c r="C327" s="113"/>
      <c r="D327" s="157"/>
      <c r="E327" s="31"/>
      <c r="F327" s="46"/>
      <c r="G327" s="47"/>
    </row>
    <row r="328" spans="1:13" ht="12" customHeight="1" thickBot="1" x14ac:dyDescent="0.25">
      <c r="A328" s="351"/>
      <c r="B328" s="341"/>
      <c r="C328" s="123"/>
      <c r="D328" s="343"/>
      <c r="E328" s="64"/>
      <c r="F328" s="125"/>
      <c r="G328" s="126"/>
    </row>
    <row r="329" spans="1:13" ht="12" customHeight="1" x14ac:dyDescent="0.2">
      <c r="A329" s="155"/>
      <c r="B329" s="156"/>
      <c r="C329" s="113"/>
      <c r="D329" s="157"/>
      <c r="E329" s="31"/>
      <c r="F329" s="46"/>
      <c r="G329" s="47"/>
    </row>
    <row r="330" spans="1:13" x14ac:dyDescent="0.2">
      <c r="A330" s="114" t="s">
        <v>90</v>
      </c>
      <c r="B330" s="115" t="s">
        <v>233</v>
      </c>
      <c r="C330" s="113"/>
      <c r="D330" s="77"/>
      <c r="E330" s="78"/>
      <c r="F330" s="46"/>
      <c r="G330" s="47">
        <f t="shared" si="61"/>
        <v>0</v>
      </c>
    </row>
    <row r="331" spans="1:13" ht="36.75" customHeight="1" x14ac:dyDescent="0.2">
      <c r="A331" s="155" t="s">
        <v>54</v>
      </c>
      <c r="B331" s="112" t="s">
        <v>336</v>
      </c>
      <c r="C331" s="113" t="s">
        <v>337</v>
      </c>
      <c r="D331" s="77">
        <f>D373+306.9</f>
        <v>694.7</v>
      </c>
      <c r="E331" s="78"/>
      <c r="F331" s="46"/>
      <c r="G331" s="47">
        <f t="shared" si="61"/>
        <v>0</v>
      </c>
      <c r="J331" s="109"/>
    </row>
    <row r="332" spans="1:13" ht="38.25" customHeight="1" x14ac:dyDescent="0.2">
      <c r="A332" s="155" t="s">
        <v>55</v>
      </c>
      <c r="B332" s="112" t="s">
        <v>338</v>
      </c>
      <c r="C332" s="113" t="s">
        <v>14</v>
      </c>
      <c r="D332" s="77">
        <v>1</v>
      </c>
      <c r="E332" s="78"/>
      <c r="F332" s="46"/>
      <c r="G332" s="47">
        <f t="shared" si="61"/>
        <v>0</v>
      </c>
      <c r="I332" s="109"/>
      <c r="J332" s="137"/>
      <c r="K332" s="137"/>
      <c r="L332" s="109"/>
      <c r="M332" s="137"/>
    </row>
    <row r="333" spans="1:13" ht="36" x14ac:dyDescent="0.2">
      <c r="A333" s="155" t="s">
        <v>59</v>
      </c>
      <c r="B333" s="112" t="s">
        <v>339</v>
      </c>
      <c r="C333" s="113" t="s">
        <v>14</v>
      </c>
      <c r="D333" s="77">
        <v>1</v>
      </c>
      <c r="E333" s="78"/>
      <c r="F333" s="46"/>
      <c r="G333" s="47"/>
      <c r="I333" s="137"/>
      <c r="J333" s="137"/>
      <c r="K333" s="137"/>
      <c r="L333" s="137"/>
      <c r="M333" s="137"/>
    </row>
    <row r="334" spans="1:13" x14ac:dyDescent="0.2">
      <c r="A334" s="111"/>
      <c r="B334" s="158"/>
      <c r="C334" s="116"/>
      <c r="D334" s="117"/>
      <c r="E334" s="78"/>
      <c r="F334" s="46"/>
      <c r="G334" s="47"/>
      <c r="I334" s="137"/>
      <c r="J334" s="137"/>
      <c r="K334" s="137"/>
      <c r="L334" s="137"/>
      <c r="M334" s="137"/>
    </row>
    <row r="335" spans="1:13" ht="12.75" thickBot="1" x14ac:dyDescent="0.25">
      <c r="A335" s="111"/>
      <c r="B335" s="158"/>
      <c r="C335" s="116"/>
      <c r="D335" s="117"/>
      <c r="E335" s="78"/>
      <c r="F335" s="46"/>
      <c r="G335" s="47"/>
      <c r="I335" s="137"/>
      <c r="J335" s="137"/>
      <c r="K335" s="137"/>
      <c r="L335" s="137"/>
      <c r="M335" s="137"/>
    </row>
    <row r="336" spans="1:13" x14ac:dyDescent="0.2">
      <c r="A336" s="55"/>
      <c r="B336" s="56" t="s">
        <v>139</v>
      </c>
      <c r="C336" s="92"/>
      <c r="D336" s="58"/>
      <c r="E336" s="59"/>
      <c r="F336" s="159"/>
      <c r="G336" s="160"/>
    </row>
    <row r="337" spans="1:15" ht="12.75" thickBot="1" x14ac:dyDescent="0.25">
      <c r="A337" s="60"/>
      <c r="B337" s="61" t="s">
        <v>160</v>
      </c>
      <c r="C337" s="93"/>
      <c r="D337" s="63"/>
      <c r="E337" s="64"/>
      <c r="F337" s="125"/>
      <c r="G337" s="161">
        <f>SUM(G96:G332)</f>
        <v>0</v>
      </c>
    </row>
    <row r="338" spans="1:15" x14ac:dyDescent="0.2">
      <c r="A338" s="27"/>
      <c r="B338" s="67"/>
      <c r="C338" s="43"/>
      <c r="D338" s="44"/>
      <c r="E338" s="31"/>
      <c r="F338" s="46"/>
      <c r="G338" s="120"/>
    </row>
    <row r="339" spans="1:15" x14ac:dyDescent="0.2">
      <c r="A339" s="27"/>
      <c r="B339" s="28" t="s">
        <v>94</v>
      </c>
      <c r="C339" s="43"/>
      <c r="D339" s="44"/>
      <c r="E339" s="31"/>
      <c r="F339" s="46"/>
      <c r="G339" s="47"/>
    </row>
    <row r="340" spans="1:15" x14ac:dyDescent="0.2">
      <c r="A340" s="27"/>
      <c r="B340" s="36" t="s">
        <v>95</v>
      </c>
      <c r="C340" s="43"/>
      <c r="D340" s="44"/>
      <c r="E340" s="31"/>
      <c r="F340" s="46"/>
      <c r="G340" s="47"/>
    </row>
    <row r="341" spans="1:15" x14ac:dyDescent="0.2">
      <c r="A341" s="162">
        <v>4.0999999999999996</v>
      </c>
      <c r="B341" s="42" t="s">
        <v>40</v>
      </c>
      <c r="C341" s="43"/>
      <c r="D341" s="44"/>
      <c r="E341" s="31"/>
      <c r="F341" s="46"/>
      <c r="G341" s="47"/>
    </row>
    <row r="342" spans="1:15" ht="54.75" customHeight="1" x14ac:dyDescent="0.2">
      <c r="A342" s="27"/>
      <c r="B342" s="378" t="s">
        <v>353</v>
      </c>
      <c r="C342" s="379"/>
      <c r="D342" s="380"/>
      <c r="E342" s="49"/>
      <c r="F342" s="49"/>
      <c r="G342" s="130"/>
    </row>
    <row r="343" spans="1:15" ht="49.5" customHeight="1" x14ac:dyDescent="0.2">
      <c r="A343" s="27"/>
      <c r="B343" s="381" t="s">
        <v>354</v>
      </c>
      <c r="C343" s="382"/>
      <c r="D343" s="383"/>
      <c r="E343" s="163"/>
      <c r="F343" s="163"/>
      <c r="G343" s="164"/>
    </row>
    <row r="344" spans="1:15" ht="39" customHeight="1" x14ac:dyDescent="0.2">
      <c r="A344" s="27"/>
      <c r="B344" s="391" t="s">
        <v>238</v>
      </c>
      <c r="C344" s="392"/>
      <c r="D344" s="393"/>
      <c r="E344" s="163"/>
      <c r="F344" s="163"/>
      <c r="G344" s="164"/>
    </row>
    <row r="345" spans="1:15" x14ac:dyDescent="0.2">
      <c r="A345" s="114" t="s">
        <v>126</v>
      </c>
      <c r="B345" s="165" t="s">
        <v>129</v>
      </c>
      <c r="C345" s="113"/>
      <c r="D345" s="77"/>
      <c r="E345" s="78"/>
      <c r="F345" s="46"/>
      <c r="G345" s="47"/>
    </row>
    <row r="346" spans="1:15" x14ac:dyDescent="0.2">
      <c r="A346" s="102" t="s">
        <v>140</v>
      </c>
      <c r="B346" s="166" t="s">
        <v>128</v>
      </c>
      <c r="C346" s="104"/>
      <c r="D346" s="105"/>
      <c r="E346" s="106"/>
      <c r="F346" s="107"/>
      <c r="G346" s="108"/>
      <c r="I346" s="109"/>
    </row>
    <row r="347" spans="1:15" x14ac:dyDescent="0.2">
      <c r="A347" s="114"/>
      <c r="B347" s="167" t="s">
        <v>183</v>
      </c>
      <c r="C347" s="116"/>
      <c r="D347" s="117"/>
      <c r="E347" s="118"/>
      <c r="F347" s="119"/>
      <c r="G347" s="47"/>
    </row>
    <row r="348" spans="1:15" ht="24" x14ac:dyDescent="0.2">
      <c r="A348" s="111"/>
      <c r="B348" s="112" t="s">
        <v>226</v>
      </c>
      <c r="C348" s="113" t="s">
        <v>337</v>
      </c>
      <c r="D348" s="77">
        <v>193.9</v>
      </c>
      <c r="E348" s="78"/>
      <c r="F348" s="46"/>
      <c r="G348" s="47">
        <f t="shared" ref="G348" si="65">(D348*E348)+(D348*F348)</f>
        <v>0</v>
      </c>
      <c r="I348" s="137">
        <v>228.07499999999999</v>
      </c>
      <c r="J348" s="137">
        <f>I348*0.85</f>
        <v>193.86374999999998</v>
      </c>
    </row>
    <row r="349" spans="1:15" x14ac:dyDescent="0.2">
      <c r="A349" s="102" t="s">
        <v>141</v>
      </c>
      <c r="B349" s="166" t="s">
        <v>56</v>
      </c>
      <c r="C349" s="104"/>
      <c r="D349" s="105"/>
      <c r="E349" s="106"/>
      <c r="F349" s="107"/>
      <c r="G349" s="108"/>
    </row>
    <row r="350" spans="1:15" x14ac:dyDescent="0.2">
      <c r="A350" s="114" t="s">
        <v>153</v>
      </c>
      <c r="B350" s="167" t="s">
        <v>266</v>
      </c>
      <c r="C350" s="116"/>
      <c r="D350" s="117"/>
      <c r="E350" s="118"/>
      <c r="F350" s="119"/>
      <c r="G350" s="47">
        <f t="shared" ref="G350:G352" si="66">(D350*E350)+(D350*F350)</f>
        <v>0</v>
      </c>
    </row>
    <row r="351" spans="1:15" ht="24" x14ac:dyDescent="0.2">
      <c r="A351" s="155" t="s">
        <v>172</v>
      </c>
      <c r="B351" s="112" t="s">
        <v>370</v>
      </c>
      <c r="C351" s="113" t="s">
        <v>337</v>
      </c>
      <c r="D351" s="77">
        <v>375.8</v>
      </c>
      <c r="E351" s="78"/>
      <c r="F351" s="46"/>
      <c r="G351" s="47">
        <f t="shared" si="66"/>
        <v>0</v>
      </c>
      <c r="I351" s="19">
        <f>13+15.3+8.7*3+2.3+28.5+1.4*2+17.2+13*2+9.8*2</f>
        <v>150.79999999999998</v>
      </c>
      <c r="J351" s="19">
        <f>I351*2.95</f>
        <v>444.85999999999996</v>
      </c>
      <c r="K351" s="19">
        <v>96.43</v>
      </c>
      <c r="L351" s="19">
        <f>J351-K351</f>
        <v>348.42999999999995</v>
      </c>
      <c r="M351" s="19">
        <f>1.725*0.45*10</f>
        <v>7.7625000000000011</v>
      </c>
      <c r="N351" s="19">
        <f>SUM(L351:M351)</f>
        <v>356.19249999999994</v>
      </c>
      <c r="O351" s="19">
        <f>N351*105%</f>
        <v>374.00212499999998</v>
      </c>
    </row>
    <row r="352" spans="1:15" x14ac:dyDescent="0.2">
      <c r="A352" s="114" t="s">
        <v>154</v>
      </c>
      <c r="B352" s="167" t="s">
        <v>265</v>
      </c>
      <c r="C352" s="116"/>
      <c r="D352" s="117"/>
      <c r="E352" s="118"/>
      <c r="F352" s="119"/>
      <c r="G352" s="47">
        <f t="shared" si="66"/>
        <v>0</v>
      </c>
    </row>
    <row r="353" spans="1:15" ht="24" x14ac:dyDescent="0.2">
      <c r="A353" s="155" t="s">
        <v>172</v>
      </c>
      <c r="B353" s="112" t="s">
        <v>370</v>
      </c>
      <c r="C353" s="113" t="s">
        <v>337</v>
      </c>
      <c r="D353" s="77">
        <v>165.8</v>
      </c>
      <c r="E353" s="78"/>
      <c r="F353" s="46"/>
      <c r="G353" s="47">
        <f t="shared" ref="G353" si="67">(D353*E353)+(D353*F353)</f>
        <v>0</v>
      </c>
      <c r="I353" s="19">
        <f>9.3+7.8+8.05+7.8+3*2+7.8+4+2.1+2.42*2</f>
        <v>57.69</v>
      </c>
      <c r="J353" s="19">
        <f>I353*2.95</f>
        <v>170.18549999999999</v>
      </c>
      <c r="K353" s="19">
        <v>12.3</v>
      </c>
      <c r="L353" s="19">
        <f>J353-K353</f>
        <v>157.88549999999998</v>
      </c>
      <c r="M353" s="19">
        <f>L353*105%</f>
        <v>165.77977499999997</v>
      </c>
    </row>
    <row r="354" spans="1:15" x14ac:dyDescent="0.2">
      <c r="A354" s="102" t="s">
        <v>51</v>
      </c>
      <c r="B354" s="166" t="s">
        <v>58</v>
      </c>
      <c r="C354" s="104"/>
      <c r="D354" s="105"/>
      <c r="E354" s="106"/>
      <c r="F354" s="107"/>
      <c r="G354" s="108"/>
    </row>
    <row r="355" spans="1:15" x14ac:dyDescent="0.2">
      <c r="A355" s="114" t="s">
        <v>153</v>
      </c>
      <c r="B355" s="167" t="s">
        <v>266</v>
      </c>
      <c r="C355" s="116"/>
      <c r="D355" s="117"/>
      <c r="E355" s="118"/>
      <c r="F355" s="119"/>
      <c r="G355" s="47">
        <f t="shared" ref="G355:G358" si="68">(D355*E355)+(D355*F355)</f>
        <v>0</v>
      </c>
    </row>
    <row r="356" spans="1:15" ht="24" x14ac:dyDescent="0.2">
      <c r="A356" s="155" t="s">
        <v>172</v>
      </c>
      <c r="B356" s="112" t="s">
        <v>370</v>
      </c>
      <c r="C356" s="113" t="s">
        <v>337</v>
      </c>
      <c r="D356" s="77">
        <v>362</v>
      </c>
      <c r="E356" s="78"/>
      <c r="F356" s="46"/>
      <c r="G356" s="47">
        <f t="shared" si="68"/>
        <v>0</v>
      </c>
      <c r="I356" s="19">
        <f>9.8+14.525+39.8*2+1.23+14.8+18.8+1.4</f>
        <v>140.155</v>
      </c>
      <c r="J356" s="19">
        <f>3.1*I356</f>
        <v>434.48050000000001</v>
      </c>
      <c r="K356" s="19">
        <v>107.68</v>
      </c>
      <c r="L356" s="19">
        <f>J356-K356</f>
        <v>326.8005</v>
      </c>
      <c r="M356" s="19">
        <f>1.725*0.45*19</f>
        <v>14.748750000000001</v>
      </c>
      <c r="N356" s="19">
        <f>SUM(L356:M356)</f>
        <v>341.54925000000003</v>
      </c>
      <c r="O356" s="19">
        <f>N356*105%</f>
        <v>358.62671250000005</v>
      </c>
    </row>
    <row r="357" spans="1:15" x14ac:dyDescent="0.2">
      <c r="A357" s="114" t="s">
        <v>154</v>
      </c>
      <c r="B357" s="167" t="s">
        <v>265</v>
      </c>
      <c r="C357" s="116"/>
      <c r="D357" s="117"/>
      <c r="E357" s="118"/>
      <c r="F357" s="119"/>
      <c r="G357" s="47">
        <f t="shared" si="68"/>
        <v>0</v>
      </c>
    </row>
    <row r="358" spans="1:15" ht="24" x14ac:dyDescent="0.2">
      <c r="A358" s="155" t="s">
        <v>172</v>
      </c>
      <c r="B358" s="112" t="s">
        <v>370</v>
      </c>
      <c r="C358" s="113" t="s">
        <v>337</v>
      </c>
      <c r="D358" s="77">
        <v>32.1</v>
      </c>
      <c r="E358" s="78"/>
      <c r="F358" s="46"/>
      <c r="G358" s="47">
        <f t="shared" si="68"/>
        <v>0</v>
      </c>
      <c r="I358" s="19">
        <f>8.3+1.2*2</f>
        <v>10.700000000000001</v>
      </c>
      <c r="J358" s="19">
        <f>I358*3</f>
        <v>32.1</v>
      </c>
    </row>
    <row r="359" spans="1:15" x14ac:dyDescent="0.2">
      <c r="A359" s="102" t="s">
        <v>142</v>
      </c>
      <c r="B359" s="166" t="s">
        <v>60</v>
      </c>
      <c r="C359" s="104"/>
      <c r="D359" s="105"/>
      <c r="E359" s="106"/>
      <c r="F359" s="107"/>
      <c r="G359" s="108"/>
    </row>
    <row r="360" spans="1:15" x14ac:dyDescent="0.2">
      <c r="A360" s="114" t="s">
        <v>153</v>
      </c>
      <c r="B360" s="167" t="s">
        <v>266</v>
      </c>
      <c r="C360" s="116"/>
      <c r="D360" s="117"/>
      <c r="E360" s="118"/>
      <c r="F360" s="119"/>
      <c r="G360" s="47">
        <f t="shared" ref="G360:G363" si="69">(D360*E360)+(D360*F360)</f>
        <v>0</v>
      </c>
    </row>
    <row r="361" spans="1:15" ht="24" x14ac:dyDescent="0.2">
      <c r="A361" s="155" t="s">
        <v>172</v>
      </c>
      <c r="B361" s="112" t="s">
        <v>370</v>
      </c>
      <c r="C361" s="113" t="s">
        <v>337</v>
      </c>
      <c r="D361" s="77">
        <v>303</v>
      </c>
      <c r="E361" s="78"/>
      <c r="F361" s="46"/>
      <c r="G361" s="47">
        <f t="shared" si="69"/>
        <v>0</v>
      </c>
      <c r="I361" s="19">
        <f>16.2+39.8*2+16.7+0.9+1.4</f>
        <v>114.80000000000001</v>
      </c>
      <c r="J361" s="19">
        <f>I361*3.05</f>
        <v>350.14</v>
      </c>
      <c r="K361" s="19">
        <v>61.6</v>
      </c>
      <c r="L361" s="19">
        <f>J361-K361</f>
        <v>288.53999999999996</v>
      </c>
      <c r="M361" s="19">
        <f>L361*105%</f>
        <v>302.96699999999998</v>
      </c>
    </row>
    <row r="362" spans="1:15" x14ac:dyDescent="0.2">
      <c r="A362" s="114" t="s">
        <v>154</v>
      </c>
      <c r="B362" s="167" t="s">
        <v>265</v>
      </c>
      <c r="C362" s="116"/>
      <c r="D362" s="117"/>
      <c r="E362" s="118"/>
      <c r="F362" s="119"/>
      <c r="G362" s="47">
        <f t="shared" si="69"/>
        <v>0</v>
      </c>
      <c r="M362" s="19">
        <f t="shared" ref="M362:M363" si="70">L362*105%</f>
        <v>0</v>
      </c>
    </row>
    <row r="363" spans="1:15" ht="24" x14ac:dyDescent="0.2">
      <c r="A363" s="155" t="s">
        <v>172</v>
      </c>
      <c r="B363" s="112" t="s">
        <v>370</v>
      </c>
      <c r="C363" s="113" t="s">
        <v>337</v>
      </c>
      <c r="D363" s="77">
        <v>119.3</v>
      </c>
      <c r="E363" s="78"/>
      <c r="F363" s="46"/>
      <c r="G363" s="47">
        <f t="shared" si="69"/>
        <v>0</v>
      </c>
      <c r="I363" s="19">
        <f>8.3*2+1.85*2+2.925*4+2.95*4</f>
        <v>43.8</v>
      </c>
      <c r="J363" s="19">
        <f>I363*3.05</f>
        <v>133.58999999999997</v>
      </c>
      <c r="K363" s="19">
        <v>20.04</v>
      </c>
      <c r="L363" s="19">
        <f>J363-K363</f>
        <v>113.54999999999998</v>
      </c>
      <c r="M363" s="19">
        <f t="shared" si="70"/>
        <v>119.22749999999999</v>
      </c>
    </row>
    <row r="364" spans="1:15" x14ac:dyDescent="0.2">
      <c r="A364" s="111"/>
      <c r="B364" s="168"/>
      <c r="C364" s="113"/>
      <c r="D364" s="77"/>
      <c r="E364" s="78"/>
      <c r="F364" s="46"/>
      <c r="G364" s="47"/>
      <c r="K364" s="109"/>
    </row>
    <row r="365" spans="1:15" ht="12.75" thickBot="1" x14ac:dyDescent="0.25">
      <c r="A365" s="121"/>
      <c r="B365" s="350"/>
      <c r="C365" s="123"/>
      <c r="D365" s="124"/>
      <c r="E365" s="151"/>
      <c r="F365" s="125"/>
      <c r="G365" s="126"/>
      <c r="K365" s="109"/>
    </row>
    <row r="366" spans="1:15" x14ac:dyDescent="0.2">
      <c r="A366" s="111"/>
      <c r="B366" s="168"/>
      <c r="C366" s="113"/>
      <c r="D366" s="77"/>
      <c r="E366" s="78"/>
      <c r="F366" s="46"/>
      <c r="G366" s="47"/>
      <c r="K366" s="109"/>
    </row>
    <row r="367" spans="1:15" x14ac:dyDescent="0.2">
      <c r="A367" s="97">
        <v>4.3</v>
      </c>
      <c r="B367" s="169" t="s">
        <v>96</v>
      </c>
      <c r="C367" s="101"/>
      <c r="D367" s="99"/>
      <c r="E367" s="100"/>
      <c r="F367" s="99"/>
      <c r="G367" s="170"/>
      <c r="K367" s="109"/>
    </row>
    <row r="368" spans="1:15" ht="109.5" customHeight="1" x14ac:dyDescent="0.2">
      <c r="A368" s="27"/>
      <c r="B368" s="49" t="s">
        <v>340</v>
      </c>
      <c r="C368" s="49"/>
      <c r="D368" s="49"/>
      <c r="E368" s="49"/>
      <c r="F368" s="49"/>
      <c r="G368" s="164"/>
    </row>
    <row r="369" spans="1:18" ht="40.5" customHeight="1" x14ac:dyDescent="0.2">
      <c r="A369" s="27"/>
      <c r="B369" s="49" t="s">
        <v>148</v>
      </c>
      <c r="C369" s="49"/>
      <c r="D369" s="49"/>
      <c r="E369" s="49"/>
      <c r="F369" s="163"/>
      <c r="G369" s="164"/>
    </row>
    <row r="370" spans="1:18" ht="51" customHeight="1" x14ac:dyDescent="0.2">
      <c r="A370" s="27"/>
      <c r="B370" s="49" t="s">
        <v>237</v>
      </c>
      <c r="C370" s="49"/>
      <c r="D370" s="49"/>
      <c r="E370" s="49"/>
      <c r="F370" s="163"/>
      <c r="G370" s="164"/>
    </row>
    <row r="371" spans="1:18" x14ac:dyDescent="0.2">
      <c r="A371" s="102" t="s">
        <v>140</v>
      </c>
      <c r="B371" s="166" t="s">
        <v>128</v>
      </c>
      <c r="C371" s="104"/>
      <c r="D371" s="105"/>
      <c r="E371" s="106"/>
      <c r="F371" s="107"/>
      <c r="G371" s="108"/>
    </row>
    <row r="372" spans="1:18" x14ac:dyDescent="0.2">
      <c r="A372" s="111" t="s">
        <v>153</v>
      </c>
      <c r="B372" s="165" t="s">
        <v>227</v>
      </c>
      <c r="C372" s="116"/>
      <c r="D372" s="117"/>
      <c r="E372" s="118"/>
      <c r="F372" s="119"/>
      <c r="G372" s="47"/>
    </row>
    <row r="373" spans="1:18" ht="13.5" x14ac:dyDescent="0.2">
      <c r="A373" s="111"/>
      <c r="B373" s="168" t="s">
        <v>225</v>
      </c>
      <c r="C373" s="113" t="s">
        <v>337</v>
      </c>
      <c r="D373" s="77">
        <f>D348*2</f>
        <v>387.8</v>
      </c>
      <c r="E373" s="78"/>
      <c r="F373" s="46"/>
      <c r="G373" s="47">
        <f t="shared" ref="G373" si="71">(D373*E373)+(D373*F373)</f>
        <v>0</v>
      </c>
    </row>
    <row r="374" spans="1:18" x14ac:dyDescent="0.2">
      <c r="A374" s="102" t="s">
        <v>141</v>
      </c>
      <c r="B374" s="166" t="s">
        <v>56</v>
      </c>
      <c r="C374" s="104"/>
      <c r="D374" s="105"/>
      <c r="E374" s="106"/>
      <c r="F374" s="107"/>
      <c r="G374" s="108"/>
    </row>
    <row r="375" spans="1:18" s="172" customFormat="1" ht="15" customHeight="1" x14ac:dyDescent="0.2">
      <c r="A375" s="114" t="s">
        <v>153</v>
      </c>
      <c r="B375" s="167" t="s">
        <v>222</v>
      </c>
      <c r="C375" s="116"/>
      <c r="D375" s="117"/>
      <c r="E375" s="118"/>
      <c r="F375" s="171"/>
      <c r="G375" s="47">
        <f t="shared" ref="G375:G376" si="72">(D375*E375)+(D375*F375)</f>
        <v>0</v>
      </c>
      <c r="I375" s="19">
        <f>13+15.3+8.7*3+2.3+28.5+1.4*2+17.2+13*2+9.8*2</f>
        <v>150.79999999999998</v>
      </c>
      <c r="J375" s="19">
        <f>I375*3.6</f>
        <v>542.88</v>
      </c>
      <c r="K375" s="19">
        <v>96.43</v>
      </c>
      <c r="L375" s="19">
        <f>J375-K375</f>
        <v>446.45</v>
      </c>
      <c r="M375" s="19">
        <f>2.1*0.45*10*2</f>
        <v>18.900000000000002</v>
      </c>
      <c r="N375" s="19">
        <f>SUM(L375:M375)</f>
        <v>465.34999999999997</v>
      </c>
      <c r="O375" s="19">
        <f>N375*105%</f>
        <v>488.61750000000001</v>
      </c>
      <c r="P375" s="19">
        <f>28.3+1.4+31.35+39.8+2.1+3.195</f>
        <v>106.14499999999998</v>
      </c>
      <c r="Q375" s="19">
        <f>P375*0.7</f>
        <v>74.301499999999976</v>
      </c>
      <c r="R375" s="19"/>
    </row>
    <row r="376" spans="1:18" ht="13.5" x14ac:dyDescent="0.2">
      <c r="A376" s="111"/>
      <c r="B376" s="168" t="s">
        <v>130</v>
      </c>
      <c r="C376" s="113" t="s">
        <v>337</v>
      </c>
      <c r="D376" s="77">
        <v>595.4</v>
      </c>
      <c r="E376" s="78"/>
      <c r="F376" s="46"/>
      <c r="G376" s="47">
        <f t="shared" si="72"/>
        <v>0</v>
      </c>
      <c r="I376" s="19">
        <f>1.4*2.95*15+1*3.05*9</f>
        <v>89.399999999999991</v>
      </c>
      <c r="J376" s="19">
        <f>I376+Q3873+O375</f>
        <v>578.01750000000004</v>
      </c>
      <c r="K376" s="19">
        <f>J376*103%</f>
        <v>595.35802500000011</v>
      </c>
    </row>
    <row r="377" spans="1:18" x14ac:dyDescent="0.2">
      <c r="A377" s="154" t="s">
        <v>154</v>
      </c>
      <c r="B377" s="158" t="s">
        <v>223</v>
      </c>
      <c r="C377" s="116"/>
      <c r="D377" s="117"/>
      <c r="E377" s="118"/>
      <c r="F377" s="119"/>
      <c r="G377" s="47">
        <f t="shared" ref="G377:G378" si="73">(D377*E377)+(D377*F377)</f>
        <v>0</v>
      </c>
    </row>
    <row r="378" spans="1:18" ht="25.5" customHeight="1" x14ac:dyDescent="0.2">
      <c r="A378" s="111"/>
      <c r="B378" s="112" t="s">
        <v>224</v>
      </c>
      <c r="C378" s="113" t="s">
        <v>337</v>
      </c>
      <c r="D378" s="77">
        <v>809.2</v>
      </c>
      <c r="E378" s="78"/>
      <c r="F378" s="46"/>
      <c r="G378" s="47">
        <f t="shared" si="73"/>
        <v>0</v>
      </c>
      <c r="I378" s="19">
        <f>9.3+7.8+8.05+7.8+3*2+7.8+4+2.1+2.42*2</f>
        <v>57.69</v>
      </c>
      <c r="J378" s="19">
        <f>I378*3.35</f>
        <v>193.26149999999998</v>
      </c>
      <c r="K378" s="19">
        <v>12.3</v>
      </c>
      <c r="L378" s="19">
        <f>J378-K378</f>
        <v>180.96149999999997</v>
      </c>
      <c r="M378" s="19">
        <f>L378*2</f>
        <v>361.92299999999994</v>
      </c>
      <c r="N378" s="19">
        <f>I375*3.35</f>
        <v>505.17999999999995</v>
      </c>
      <c r="O378" s="19">
        <f>N378-K375</f>
        <v>408.74999999999994</v>
      </c>
      <c r="P378" s="19">
        <f>O378+M378</f>
        <v>770.67299999999989</v>
      </c>
      <c r="Q378" s="19">
        <f>P378*105%</f>
        <v>809.20664999999997</v>
      </c>
    </row>
    <row r="379" spans="1:18" x14ac:dyDescent="0.2">
      <c r="A379" s="102" t="s">
        <v>51</v>
      </c>
      <c r="B379" s="166" t="s">
        <v>58</v>
      </c>
      <c r="C379" s="104"/>
      <c r="D379" s="105"/>
      <c r="E379" s="106"/>
      <c r="F379" s="107"/>
      <c r="G379" s="108"/>
    </row>
    <row r="380" spans="1:18" x14ac:dyDescent="0.2">
      <c r="A380" s="114" t="s">
        <v>153</v>
      </c>
      <c r="B380" s="167" t="s">
        <v>222</v>
      </c>
      <c r="C380" s="116"/>
      <c r="D380" s="117"/>
      <c r="E380" s="118"/>
      <c r="F380" s="171"/>
      <c r="G380" s="47">
        <f t="shared" ref="G380:G383" si="74">(D380*E380)+(D380*F380)</f>
        <v>0</v>
      </c>
    </row>
    <row r="381" spans="1:18" ht="13.5" x14ac:dyDescent="0.2">
      <c r="A381" s="111"/>
      <c r="B381" s="168" t="s">
        <v>130</v>
      </c>
      <c r="C381" s="113" t="s">
        <v>337</v>
      </c>
      <c r="D381" s="77">
        <v>472</v>
      </c>
      <c r="E381" s="78"/>
      <c r="F381" s="46"/>
      <c r="G381" s="47">
        <f t="shared" si="74"/>
        <v>0</v>
      </c>
      <c r="I381" s="19">
        <f>9.8+14.525+39.8*2+1.23+14.8+18.8+1.4</f>
        <v>140.155</v>
      </c>
      <c r="J381" s="19">
        <f>I381*3.55</f>
        <v>497.55025000000001</v>
      </c>
      <c r="K381" s="19">
        <v>107.68</v>
      </c>
      <c r="L381" s="19">
        <f>J381-K381</f>
        <v>389.87025</v>
      </c>
      <c r="M381" s="19">
        <f>2*0.45*19*2</f>
        <v>34.200000000000003</v>
      </c>
      <c r="N381" s="19">
        <f>(4*6+2.6)*1.8</f>
        <v>47.88</v>
      </c>
      <c r="O381" s="19">
        <f>L381+M381+N381</f>
        <v>471.95024999999998</v>
      </c>
    </row>
    <row r="382" spans="1:18" x14ac:dyDescent="0.2">
      <c r="A382" s="154" t="s">
        <v>154</v>
      </c>
      <c r="B382" s="158" t="s">
        <v>223</v>
      </c>
      <c r="C382" s="116"/>
      <c r="D382" s="117"/>
      <c r="E382" s="118"/>
      <c r="F382" s="119"/>
      <c r="G382" s="47">
        <f t="shared" si="74"/>
        <v>0</v>
      </c>
    </row>
    <row r="383" spans="1:18" ht="24" x14ac:dyDescent="0.2">
      <c r="A383" s="111"/>
      <c r="B383" s="112" t="s">
        <v>224</v>
      </c>
      <c r="C383" s="113" t="s">
        <v>337</v>
      </c>
      <c r="D383" s="77">
        <v>463.7</v>
      </c>
      <c r="E383" s="78"/>
      <c r="F383" s="46"/>
      <c r="G383" s="47">
        <f t="shared" si="74"/>
        <v>0</v>
      </c>
      <c r="I383" s="19">
        <f>8.3+1.2*2</f>
        <v>10.700000000000001</v>
      </c>
      <c r="J383" s="19">
        <f>I383*3.4*2</f>
        <v>72.760000000000005</v>
      </c>
      <c r="K383" s="19">
        <f>I381*3.4</f>
        <v>476.52699999999999</v>
      </c>
      <c r="L383" s="19">
        <f>K383-K381</f>
        <v>368.84699999999998</v>
      </c>
      <c r="M383" s="19">
        <f>L383+J383</f>
        <v>441.60699999999997</v>
      </c>
      <c r="N383" s="19">
        <f>M383*105%</f>
        <v>463.68734999999998</v>
      </c>
    </row>
    <row r="384" spans="1:18" x14ac:dyDescent="0.2">
      <c r="A384" s="102" t="s">
        <v>142</v>
      </c>
      <c r="B384" s="166" t="s">
        <v>60</v>
      </c>
      <c r="C384" s="104"/>
      <c r="D384" s="105"/>
      <c r="E384" s="106"/>
      <c r="F384" s="107"/>
      <c r="G384" s="108"/>
    </row>
    <row r="385" spans="1:19" x14ac:dyDescent="0.2">
      <c r="A385" s="114" t="s">
        <v>153</v>
      </c>
      <c r="B385" s="167" t="s">
        <v>222</v>
      </c>
      <c r="C385" s="116"/>
      <c r="D385" s="117"/>
      <c r="E385" s="118"/>
      <c r="F385" s="171"/>
      <c r="G385" s="47">
        <f t="shared" ref="G385:G388" si="75">(D385*E385)+(D385*F385)</f>
        <v>0</v>
      </c>
    </row>
    <row r="386" spans="1:19" ht="13.5" x14ac:dyDescent="0.2">
      <c r="A386" s="111"/>
      <c r="B386" s="168" t="s">
        <v>130</v>
      </c>
      <c r="C386" s="113" t="s">
        <v>337</v>
      </c>
      <c r="D386" s="77">
        <v>344.4</v>
      </c>
      <c r="E386" s="78"/>
      <c r="F386" s="46"/>
      <c r="G386" s="47">
        <f t="shared" si="75"/>
        <v>0</v>
      </c>
      <c r="I386" s="19">
        <f>16.2+39.8*2+16.7+0.9+1.4</f>
        <v>114.80000000000001</v>
      </c>
      <c r="J386" s="19">
        <f>I386*3.5</f>
        <v>401.80000000000007</v>
      </c>
      <c r="K386" s="19">
        <v>61.6</v>
      </c>
      <c r="L386" s="19">
        <f>J386-K386</f>
        <v>340.20000000000005</v>
      </c>
      <c r="M386" s="19">
        <f>L386*105%</f>
        <v>357.21000000000004</v>
      </c>
    </row>
    <row r="387" spans="1:19" x14ac:dyDescent="0.2">
      <c r="A387" s="154" t="s">
        <v>154</v>
      </c>
      <c r="B387" s="158" t="s">
        <v>223</v>
      </c>
      <c r="C387" s="116"/>
      <c r="D387" s="117"/>
      <c r="E387" s="118"/>
      <c r="F387" s="119"/>
      <c r="G387" s="47">
        <f t="shared" si="75"/>
        <v>0</v>
      </c>
      <c r="M387" s="19">
        <f t="shared" ref="M387" si="76">L387*105%</f>
        <v>0</v>
      </c>
    </row>
    <row r="388" spans="1:19" ht="24" x14ac:dyDescent="0.2">
      <c r="A388" s="111"/>
      <c r="B388" s="112" t="s">
        <v>224</v>
      </c>
      <c r="C388" s="113" t="s">
        <v>337</v>
      </c>
      <c r="D388" s="77">
        <v>747.15</v>
      </c>
      <c r="E388" s="78"/>
      <c r="F388" s="46"/>
      <c r="G388" s="47">
        <f t="shared" si="75"/>
        <v>0</v>
      </c>
      <c r="I388" s="19">
        <f>8.3*2+1.85*2+2.925*4+2.95*4</f>
        <v>43.8</v>
      </c>
      <c r="J388" s="19">
        <f>I388*3.5</f>
        <v>153.29999999999998</v>
      </c>
      <c r="K388" s="19">
        <v>20.04</v>
      </c>
      <c r="L388" s="19">
        <f>J388-K388</f>
        <v>133.26</v>
      </c>
      <c r="M388" s="19">
        <f>L388*2</f>
        <v>266.52</v>
      </c>
      <c r="N388" s="19">
        <f>I386*3.5</f>
        <v>401.80000000000007</v>
      </c>
      <c r="O388" s="19">
        <f>N388-K386</f>
        <v>340.20000000000005</v>
      </c>
      <c r="P388" s="19">
        <f>O388+M388</f>
        <v>606.72</v>
      </c>
      <c r="Q388" s="19">
        <f>K290*2.2</f>
        <v>104.83</v>
      </c>
      <c r="R388" s="19">
        <f>SUM(P388:Q388)</f>
        <v>711.55000000000007</v>
      </c>
      <c r="S388" s="19">
        <f>R388*105%</f>
        <v>747.12750000000005</v>
      </c>
    </row>
    <row r="389" spans="1:19" x14ac:dyDescent="0.2">
      <c r="A389" s="102" t="s">
        <v>143</v>
      </c>
      <c r="B389" s="166" t="s">
        <v>239</v>
      </c>
      <c r="C389" s="104"/>
      <c r="D389" s="105"/>
      <c r="E389" s="106"/>
      <c r="F389" s="107"/>
      <c r="G389" s="108"/>
    </row>
    <row r="390" spans="1:19" x14ac:dyDescent="0.2">
      <c r="A390" s="114" t="s">
        <v>153</v>
      </c>
      <c r="B390" s="167" t="s">
        <v>222</v>
      </c>
      <c r="C390" s="116"/>
      <c r="D390" s="117"/>
      <c r="E390" s="118"/>
      <c r="F390" s="171"/>
      <c r="G390" s="47">
        <f t="shared" ref="G390:G391" si="77">(D390*E390)+(D390*F390)</f>
        <v>0</v>
      </c>
    </row>
    <row r="391" spans="1:19" ht="13.5" x14ac:dyDescent="0.2">
      <c r="A391" s="111"/>
      <c r="B391" s="168" t="s">
        <v>130</v>
      </c>
      <c r="C391" s="113" t="s">
        <v>337</v>
      </c>
      <c r="D391" s="77">
        <v>55.2</v>
      </c>
      <c r="E391" s="78"/>
      <c r="F391" s="46"/>
      <c r="G391" s="47">
        <f t="shared" si="77"/>
        <v>0</v>
      </c>
      <c r="I391" s="19">
        <f>K315*1.4</f>
        <v>55.16</v>
      </c>
      <c r="K391" s="109"/>
      <c r="L391" s="109"/>
      <c r="O391" s="109"/>
    </row>
    <row r="392" spans="1:19" x14ac:dyDescent="0.2">
      <c r="A392" s="111"/>
      <c r="B392" s="112"/>
      <c r="C392" s="113"/>
      <c r="D392" s="77"/>
      <c r="E392" s="78"/>
      <c r="F392" s="46"/>
      <c r="G392" s="47"/>
      <c r="K392" s="109"/>
      <c r="L392" s="109"/>
      <c r="M392" s="109"/>
      <c r="N392" s="109"/>
    </row>
    <row r="393" spans="1:19" x14ac:dyDescent="0.2">
      <c r="A393" s="114" t="s">
        <v>258</v>
      </c>
      <c r="B393" s="165" t="s">
        <v>322</v>
      </c>
      <c r="C393" s="113"/>
      <c r="D393" s="77"/>
      <c r="E393" s="78"/>
      <c r="F393" s="46"/>
      <c r="G393" s="47"/>
    </row>
    <row r="394" spans="1:19" ht="33.75" customHeight="1" x14ac:dyDescent="0.2">
      <c r="A394" s="111"/>
      <c r="B394" s="112" t="s">
        <v>341</v>
      </c>
      <c r="C394" s="113" t="s">
        <v>14</v>
      </c>
      <c r="D394" s="77">
        <v>1</v>
      </c>
      <c r="E394" s="78"/>
      <c r="F394" s="46"/>
      <c r="G394" s="47">
        <f t="shared" ref="G394" si="78">(D394*E394)+(D394*F394)</f>
        <v>0</v>
      </c>
    </row>
    <row r="395" spans="1:19" x14ac:dyDescent="0.2">
      <c r="A395" s="154"/>
      <c r="B395" s="158"/>
      <c r="C395" s="113"/>
      <c r="D395" s="77"/>
      <c r="E395" s="78"/>
      <c r="F395" s="46"/>
      <c r="G395" s="47"/>
    </row>
    <row r="396" spans="1:19" x14ac:dyDescent="0.2">
      <c r="A396" s="154"/>
      <c r="B396" s="158"/>
      <c r="C396" s="113"/>
      <c r="D396" s="77"/>
      <c r="E396" s="78"/>
      <c r="F396" s="46"/>
      <c r="G396" s="47"/>
    </row>
    <row r="397" spans="1:19" x14ac:dyDescent="0.2">
      <c r="A397" s="154"/>
      <c r="B397" s="158"/>
      <c r="C397" s="113"/>
      <c r="D397" s="77"/>
      <c r="E397" s="78"/>
      <c r="F397" s="46"/>
      <c r="G397" s="47"/>
    </row>
    <row r="398" spans="1:19" x14ac:dyDescent="0.2">
      <c r="A398" s="154"/>
      <c r="B398" s="158"/>
      <c r="C398" s="113"/>
      <c r="D398" s="77"/>
      <c r="E398" s="78"/>
      <c r="F398" s="46"/>
      <c r="G398" s="47"/>
    </row>
    <row r="399" spans="1:19" x14ac:dyDescent="0.2">
      <c r="A399" s="154"/>
      <c r="B399" s="158"/>
      <c r="C399" s="113"/>
      <c r="D399" s="77"/>
      <c r="E399" s="78"/>
      <c r="F399" s="46"/>
      <c r="G399" s="47"/>
    </row>
    <row r="400" spans="1:19" x14ac:dyDescent="0.2">
      <c r="A400" s="154"/>
      <c r="B400" s="158"/>
      <c r="C400" s="113"/>
      <c r="D400" s="77"/>
      <c r="E400" s="78"/>
      <c r="F400" s="46"/>
      <c r="G400" s="47"/>
    </row>
    <row r="401" spans="1:15" x14ac:dyDescent="0.2">
      <c r="A401" s="154"/>
      <c r="B401" s="158"/>
      <c r="C401" s="113"/>
      <c r="D401" s="77"/>
      <c r="E401" s="78"/>
      <c r="F401" s="46"/>
      <c r="G401" s="47"/>
    </row>
    <row r="402" spans="1:15" ht="12.75" thickBot="1" x14ac:dyDescent="0.25">
      <c r="A402" s="154"/>
      <c r="B402" s="158"/>
      <c r="C402" s="113"/>
      <c r="D402" s="77"/>
      <c r="E402" s="78"/>
      <c r="F402" s="46"/>
      <c r="G402" s="47"/>
    </row>
    <row r="403" spans="1:15" x14ac:dyDescent="0.2">
      <c r="A403" s="55"/>
      <c r="B403" s="56" t="s">
        <v>138</v>
      </c>
      <c r="C403" s="92"/>
      <c r="D403" s="58"/>
      <c r="E403" s="59"/>
      <c r="F403" s="159"/>
      <c r="G403" s="160"/>
    </row>
    <row r="404" spans="1:15" ht="12.75" thickBot="1" x14ac:dyDescent="0.25">
      <c r="A404" s="60"/>
      <c r="B404" s="61" t="s">
        <v>185</v>
      </c>
      <c r="C404" s="93"/>
      <c r="D404" s="63"/>
      <c r="E404" s="64"/>
      <c r="F404" s="125"/>
      <c r="G404" s="161">
        <f>SUM(G347:G388)</f>
        <v>0</v>
      </c>
    </row>
    <row r="405" spans="1:15" x14ac:dyDescent="0.2">
      <c r="A405" s="27"/>
      <c r="B405" s="67"/>
      <c r="C405" s="43"/>
      <c r="D405" s="44"/>
      <c r="E405" s="31"/>
      <c r="F405" s="46"/>
      <c r="G405" s="120"/>
      <c r="K405" s="19">
        <f>(30.53+10.025+22.025+11.525)*2</f>
        <v>148.21</v>
      </c>
      <c r="L405" s="19">
        <f>5.525*8</f>
        <v>44.2</v>
      </c>
      <c r="M405" s="19">
        <f>K405-L405</f>
        <v>104.01</v>
      </c>
    </row>
    <row r="406" spans="1:15" x14ac:dyDescent="0.2">
      <c r="A406" s="173"/>
      <c r="B406" s="174" t="s">
        <v>97</v>
      </c>
      <c r="C406" s="175"/>
      <c r="D406" s="30"/>
      <c r="E406" s="176"/>
      <c r="F406" s="46"/>
      <c r="G406" s="47"/>
      <c r="K406" s="19">
        <f>18.45*2+11.45*2</f>
        <v>59.8</v>
      </c>
      <c r="N406" s="19">
        <f>M405+K406</f>
        <v>163.81</v>
      </c>
      <c r="O406" s="19">
        <f>N406/0.74</f>
        <v>221.36486486486487</v>
      </c>
    </row>
    <row r="407" spans="1:15" x14ac:dyDescent="0.2">
      <c r="A407" s="173"/>
      <c r="B407" s="177" t="s">
        <v>98</v>
      </c>
      <c r="C407" s="175"/>
      <c r="D407" s="30"/>
      <c r="E407" s="176"/>
      <c r="F407" s="46"/>
      <c r="G407" s="47"/>
      <c r="K407" s="19">
        <f>SUM(K405:K406)</f>
        <v>208.01</v>
      </c>
      <c r="L407" s="19">
        <f>K407*5.8</f>
        <v>1206.4579999999999</v>
      </c>
      <c r="M407" s="19">
        <f>L407/18.3</f>
        <v>65.926666666666662</v>
      </c>
    </row>
    <row r="408" spans="1:15" x14ac:dyDescent="0.2">
      <c r="A408" s="162" t="s">
        <v>99</v>
      </c>
      <c r="B408" s="38" t="s">
        <v>40</v>
      </c>
      <c r="C408" s="29"/>
      <c r="D408" s="30"/>
      <c r="E408" s="31"/>
      <c r="F408" s="46"/>
      <c r="G408" s="47"/>
    </row>
    <row r="409" spans="1:15" ht="49.5" customHeight="1" x14ac:dyDescent="0.2">
      <c r="A409" s="162"/>
      <c r="B409" s="49" t="s">
        <v>131</v>
      </c>
      <c r="C409" s="49"/>
      <c r="D409" s="49"/>
      <c r="E409" s="49"/>
      <c r="F409" s="49"/>
      <c r="G409" s="130"/>
    </row>
    <row r="410" spans="1:15" x14ac:dyDescent="0.2">
      <c r="A410" s="178" t="s">
        <v>133</v>
      </c>
      <c r="B410" s="179" t="s">
        <v>188</v>
      </c>
      <c r="C410" s="180"/>
      <c r="D410" s="181"/>
      <c r="E410" s="182"/>
      <c r="F410" s="183"/>
      <c r="G410" s="184"/>
    </row>
    <row r="411" spans="1:15" x14ac:dyDescent="0.2">
      <c r="A411" s="300"/>
      <c r="B411" s="301" t="s">
        <v>194</v>
      </c>
      <c r="C411" s="302"/>
      <c r="D411" s="303"/>
      <c r="E411" s="176"/>
      <c r="F411" s="149"/>
      <c r="G411" s="185"/>
    </row>
    <row r="412" spans="1:15" x14ac:dyDescent="0.2">
      <c r="A412" s="304" t="s">
        <v>140</v>
      </c>
      <c r="B412" s="305" t="s">
        <v>56</v>
      </c>
      <c r="C412" s="306"/>
      <c r="D412" s="307"/>
      <c r="E412" s="134"/>
      <c r="F412" s="135"/>
      <c r="G412" s="136">
        <f t="shared" ref="G412:G420" si="79">(D412*E412)+(D412*F412)</f>
        <v>0</v>
      </c>
    </row>
    <row r="413" spans="1:15" ht="13.5" x14ac:dyDescent="0.2">
      <c r="A413" s="300"/>
      <c r="B413" s="308" t="s">
        <v>267</v>
      </c>
      <c r="C413" s="302" t="s">
        <v>335</v>
      </c>
      <c r="D413" s="303">
        <v>205.84</v>
      </c>
      <c r="E413" s="148"/>
      <c r="F413" s="149"/>
      <c r="G413" s="185">
        <f t="shared" si="79"/>
        <v>0</v>
      </c>
      <c r="I413" s="19">
        <f>8.3*6.2*4</f>
        <v>205.84000000000003</v>
      </c>
      <c r="J413" s="19">
        <v>72.5</v>
      </c>
    </row>
    <row r="414" spans="1:15" ht="13.5" x14ac:dyDescent="0.2">
      <c r="A414" s="300"/>
      <c r="B414" s="308" t="s">
        <v>454</v>
      </c>
      <c r="C414" s="302" t="s">
        <v>335</v>
      </c>
      <c r="D414" s="303">
        <v>156.04</v>
      </c>
      <c r="E414" s="148"/>
      <c r="F414" s="149"/>
      <c r="G414" s="185">
        <f t="shared" ref="G414:G416" si="80">(D414*E414)+(D414*F414)</f>
        <v>0</v>
      </c>
      <c r="I414" s="19">
        <f>8.3*9.4*2</f>
        <v>156.04000000000002</v>
      </c>
      <c r="M414" s="109">
        <f>D413+D414+D415+D416+D418+D419+D420+D421+D417</f>
        <v>702.34999999999991</v>
      </c>
      <c r="N414" s="109">
        <f>M414-D421</f>
        <v>687.19999999999993</v>
      </c>
    </row>
    <row r="415" spans="1:15" ht="13.5" x14ac:dyDescent="0.2">
      <c r="A415" s="300"/>
      <c r="B415" s="308" t="s">
        <v>455</v>
      </c>
      <c r="C415" s="302" t="s">
        <v>335</v>
      </c>
      <c r="D415" s="303">
        <v>33.6</v>
      </c>
      <c r="E415" s="148"/>
      <c r="F415" s="149"/>
      <c r="G415" s="185">
        <f t="shared" si="80"/>
        <v>0</v>
      </c>
      <c r="I415" s="19">
        <f>5.6*3*2</f>
        <v>33.599999999999994</v>
      </c>
    </row>
    <row r="416" spans="1:15" ht="13.5" x14ac:dyDescent="0.2">
      <c r="A416" s="300"/>
      <c r="B416" s="308" t="s">
        <v>456</v>
      </c>
      <c r="C416" s="302" t="s">
        <v>335</v>
      </c>
      <c r="D416" s="303">
        <v>15.6</v>
      </c>
      <c r="E416" s="148"/>
      <c r="F416" s="149"/>
      <c r="G416" s="185">
        <f t="shared" si="80"/>
        <v>0</v>
      </c>
      <c r="I416" s="19">
        <f>5.2*3</f>
        <v>15.600000000000001</v>
      </c>
    </row>
    <row r="417" spans="1:14" ht="13.5" x14ac:dyDescent="0.2">
      <c r="A417" s="300"/>
      <c r="B417" s="308" t="s">
        <v>371</v>
      </c>
      <c r="C417" s="302" t="s">
        <v>335</v>
      </c>
      <c r="D417" s="303">
        <v>252.63</v>
      </c>
      <c r="E417" s="148"/>
      <c r="F417" s="149"/>
      <c r="G417" s="185">
        <f t="shared" si="79"/>
        <v>0</v>
      </c>
      <c r="I417" s="19">
        <f>3.2*8.7+31.1*4.15+13*2.6*2+28.3*1.4</f>
        <v>264.12500000000006</v>
      </c>
      <c r="J417" s="19">
        <f>0.925*1.3+4.475*2.3</f>
        <v>11.494999999999999</v>
      </c>
      <c r="K417" s="19">
        <f>I417-J417</f>
        <v>252.63000000000005</v>
      </c>
    </row>
    <row r="418" spans="1:14" ht="13.5" x14ac:dyDescent="0.2">
      <c r="A418" s="300"/>
      <c r="B418" s="308" t="s">
        <v>457</v>
      </c>
      <c r="C418" s="302" t="s">
        <v>335</v>
      </c>
      <c r="D418" s="303">
        <v>8.0150000000000006</v>
      </c>
      <c r="E418" s="148"/>
      <c r="F418" s="149"/>
      <c r="G418" s="185">
        <f t="shared" ref="G418:G419" si="81">(D418*E418)+(D418*F418)</f>
        <v>0</v>
      </c>
      <c r="I418" s="19">
        <f>2.425*2.1+1.425*1.025*2</f>
        <v>8.0137499999999999</v>
      </c>
    </row>
    <row r="419" spans="1:14" ht="13.5" x14ac:dyDescent="0.2">
      <c r="A419" s="300"/>
      <c r="B419" s="308" t="s">
        <v>459</v>
      </c>
      <c r="C419" s="302" t="s">
        <v>335</v>
      </c>
      <c r="D419" s="303">
        <v>0.77500000000000002</v>
      </c>
      <c r="E419" s="148"/>
      <c r="F419" s="149"/>
      <c r="G419" s="185">
        <f t="shared" si="81"/>
        <v>0</v>
      </c>
    </row>
    <row r="420" spans="1:14" ht="13.5" x14ac:dyDescent="0.2">
      <c r="A420" s="300"/>
      <c r="B420" s="308" t="s">
        <v>452</v>
      </c>
      <c r="C420" s="302" t="s">
        <v>335</v>
      </c>
      <c r="D420" s="303">
        <v>14.7</v>
      </c>
      <c r="E420" s="148"/>
      <c r="F420" s="149"/>
      <c r="G420" s="185">
        <f t="shared" si="79"/>
        <v>0</v>
      </c>
      <c r="I420" s="109">
        <f>3.9*2.6</f>
        <v>10.14</v>
      </c>
      <c r="J420" s="19">
        <f>1.3*0.175*20</f>
        <v>4.55</v>
      </c>
      <c r="K420" s="109"/>
      <c r="L420" s="109">
        <f>SUM(I420:K420)</f>
        <v>14.690000000000001</v>
      </c>
    </row>
    <row r="421" spans="1:14" ht="13.5" x14ac:dyDescent="0.2">
      <c r="A421" s="300"/>
      <c r="B421" s="308" t="s">
        <v>453</v>
      </c>
      <c r="C421" s="302" t="s">
        <v>335</v>
      </c>
      <c r="D421" s="303">
        <v>15.15</v>
      </c>
      <c r="E421" s="148"/>
      <c r="F421" s="149"/>
      <c r="G421" s="185">
        <f t="shared" ref="G421" si="82">(D421*E421)+(D421*F421)</f>
        <v>0</v>
      </c>
      <c r="I421" s="109"/>
      <c r="K421" s="109"/>
      <c r="L421" s="109"/>
    </row>
    <row r="422" spans="1:14" ht="13.5" x14ac:dyDescent="0.2">
      <c r="A422" s="300"/>
      <c r="B422" s="308" t="s">
        <v>458</v>
      </c>
      <c r="C422" s="302" t="s">
        <v>335</v>
      </c>
      <c r="D422" s="303">
        <v>23.12</v>
      </c>
      <c r="E422" s="148"/>
      <c r="F422" s="149"/>
      <c r="G422" s="185">
        <f t="shared" ref="G422" si="83">(D422*E422)+(D422*F422)</f>
        <v>0</v>
      </c>
      <c r="I422" s="109">
        <f>2.95+31.1+1.875+2.6</f>
        <v>38.525000000000006</v>
      </c>
      <c r="J422" s="109">
        <f>I422*0.6</f>
        <v>23.115000000000002</v>
      </c>
      <c r="K422" s="109"/>
      <c r="L422" s="109"/>
    </row>
    <row r="423" spans="1:14" x14ac:dyDescent="0.2">
      <c r="A423" s="300"/>
      <c r="B423" s="308"/>
      <c r="C423" s="302"/>
      <c r="D423" s="303"/>
      <c r="E423" s="148"/>
      <c r="F423" s="149"/>
      <c r="G423" s="185"/>
      <c r="I423" s="109"/>
      <c r="K423" s="109"/>
    </row>
    <row r="424" spans="1:14" x14ac:dyDescent="0.2">
      <c r="A424" s="304" t="s">
        <v>141</v>
      </c>
      <c r="B424" s="305" t="s">
        <v>58</v>
      </c>
      <c r="C424" s="306"/>
      <c r="D424" s="307"/>
      <c r="E424" s="134"/>
      <c r="F424" s="135"/>
      <c r="G424" s="136">
        <f t="shared" ref="G424:G430" si="84">(D424*E424)+(D424*F424)</f>
        <v>0</v>
      </c>
    </row>
    <row r="425" spans="1:14" ht="13.5" x14ac:dyDescent="0.2">
      <c r="A425" s="300"/>
      <c r="B425" s="308" t="s">
        <v>267</v>
      </c>
      <c r="C425" s="302" t="s">
        <v>335</v>
      </c>
      <c r="D425" s="303">
        <v>102.92</v>
      </c>
      <c r="E425" s="148"/>
      <c r="F425" s="149"/>
      <c r="G425" s="185">
        <f t="shared" si="84"/>
        <v>0</v>
      </c>
      <c r="I425" s="19">
        <f>8.3*6.2*2</f>
        <v>102.92000000000002</v>
      </c>
      <c r="J425" s="19">
        <v>72.5</v>
      </c>
    </row>
    <row r="426" spans="1:14" ht="13.5" x14ac:dyDescent="0.2">
      <c r="A426" s="300"/>
      <c r="B426" s="308" t="s">
        <v>461</v>
      </c>
      <c r="C426" s="302" t="s">
        <v>335</v>
      </c>
      <c r="D426" s="303">
        <v>458</v>
      </c>
      <c r="E426" s="148"/>
      <c r="F426" s="149"/>
      <c r="G426" s="185">
        <f t="shared" si="84"/>
        <v>0</v>
      </c>
      <c r="I426" s="19">
        <f>28.1*16.3</f>
        <v>458.03000000000003</v>
      </c>
    </row>
    <row r="427" spans="1:14" ht="13.5" x14ac:dyDescent="0.2">
      <c r="A427" s="300"/>
      <c r="B427" s="308" t="s">
        <v>372</v>
      </c>
      <c r="C427" s="302" t="s">
        <v>335</v>
      </c>
      <c r="D427" s="303">
        <v>55.95</v>
      </c>
      <c r="E427" s="148"/>
      <c r="F427" s="149"/>
      <c r="G427" s="185">
        <f t="shared" si="84"/>
        <v>0</v>
      </c>
      <c r="I427" s="19">
        <f>28.325*1.975</f>
        <v>55.941875000000003</v>
      </c>
      <c r="L427" s="19">
        <f>SUM(I427:K427)</f>
        <v>55.941875000000003</v>
      </c>
    </row>
    <row r="428" spans="1:14" ht="13.5" x14ac:dyDescent="0.2">
      <c r="A428" s="300"/>
      <c r="B428" s="308" t="s">
        <v>464</v>
      </c>
      <c r="C428" s="302" t="s">
        <v>335</v>
      </c>
      <c r="D428" s="303">
        <v>46.502499999999998</v>
      </c>
      <c r="E428" s="148"/>
      <c r="F428" s="149"/>
      <c r="G428" s="185">
        <f t="shared" si="84"/>
        <v>0</v>
      </c>
      <c r="I428" s="19">
        <f>14.525*2.6+5.825*1.5</f>
        <v>46.502499999999998</v>
      </c>
    </row>
    <row r="429" spans="1:14" ht="13.5" x14ac:dyDescent="0.2">
      <c r="A429" s="300"/>
      <c r="B429" s="308" t="s">
        <v>269</v>
      </c>
      <c r="C429" s="302" t="s">
        <v>335</v>
      </c>
      <c r="D429" s="303">
        <v>14.7</v>
      </c>
      <c r="E429" s="148"/>
      <c r="F429" s="149"/>
      <c r="G429" s="185">
        <f t="shared" si="84"/>
        <v>0</v>
      </c>
      <c r="I429" s="109">
        <f>4.22*3.025</f>
        <v>12.765499999999999</v>
      </c>
      <c r="J429" s="19">
        <f>1.5*0.175*20</f>
        <v>5.2499999999999991</v>
      </c>
      <c r="K429" s="109">
        <f>SUM(I429:J429)</f>
        <v>18.015499999999999</v>
      </c>
      <c r="N429" s="17"/>
    </row>
    <row r="430" spans="1:14" ht="13.5" x14ac:dyDescent="0.2">
      <c r="A430" s="300"/>
      <c r="B430" s="308" t="s">
        <v>355</v>
      </c>
      <c r="C430" s="302" t="s">
        <v>335</v>
      </c>
      <c r="D430" s="303">
        <v>6.45</v>
      </c>
      <c r="E430" s="148"/>
      <c r="F430" s="149"/>
      <c r="G430" s="185">
        <f t="shared" si="84"/>
        <v>0</v>
      </c>
      <c r="I430" s="109">
        <f>1.35*2.325+1.1*1.5*2</f>
        <v>6.4387500000000006</v>
      </c>
      <c r="K430" s="109"/>
    </row>
    <row r="431" spans="1:14" x14ac:dyDescent="0.2">
      <c r="A431" s="300"/>
      <c r="B431" s="308"/>
      <c r="C431" s="302"/>
      <c r="D431" s="303"/>
      <c r="E431" s="148"/>
      <c r="F431" s="149"/>
      <c r="G431" s="185"/>
      <c r="I431" s="109"/>
      <c r="K431" s="109"/>
    </row>
    <row r="432" spans="1:14" x14ac:dyDescent="0.2">
      <c r="A432" s="304" t="s">
        <v>51</v>
      </c>
      <c r="B432" s="305" t="s">
        <v>60</v>
      </c>
      <c r="C432" s="306"/>
      <c r="D432" s="307"/>
      <c r="E432" s="134"/>
      <c r="F432" s="135"/>
      <c r="G432" s="136">
        <f t="shared" ref="G432:G436" si="85">(D432*E432)+(D432*F432)</f>
        <v>0</v>
      </c>
      <c r="I432" s="109"/>
    </row>
    <row r="433" spans="1:11" ht="13.5" x14ac:dyDescent="0.2">
      <c r="A433" s="300"/>
      <c r="B433" s="308" t="s">
        <v>267</v>
      </c>
      <c r="C433" s="302" t="s">
        <v>335</v>
      </c>
      <c r="D433" s="303">
        <v>102.92</v>
      </c>
      <c r="E433" s="148"/>
      <c r="F433" s="149"/>
      <c r="G433" s="185">
        <f t="shared" si="85"/>
        <v>0</v>
      </c>
      <c r="I433" s="19">
        <f>51.46*2</f>
        <v>102.92</v>
      </c>
    </row>
    <row r="434" spans="1:11" ht="13.5" x14ac:dyDescent="0.2">
      <c r="A434" s="300"/>
      <c r="B434" s="308" t="s">
        <v>268</v>
      </c>
      <c r="C434" s="302" t="s">
        <v>335</v>
      </c>
      <c r="D434" s="303">
        <v>24.9</v>
      </c>
      <c r="E434" s="148"/>
      <c r="F434" s="149"/>
      <c r="G434" s="185">
        <f t="shared" ref="G434" si="86">(D434*E434)+(D434*F434)</f>
        <v>0</v>
      </c>
      <c r="I434" s="19">
        <f>8.3*3</f>
        <v>24.900000000000002</v>
      </c>
    </row>
    <row r="435" spans="1:11" ht="13.5" x14ac:dyDescent="0.2">
      <c r="A435" s="300"/>
      <c r="B435" s="308" t="s">
        <v>464</v>
      </c>
      <c r="C435" s="302" t="s">
        <v>335</v>
      </c>
      <c r="D435" s="303">
        <v>32.299999999999997</v>
      </c>
      <c r="E435" s="148"/>
      <c r="F435" s="149"/>
      <c r="G435" s="185">
        <f t="shared" si="85"/>
        <v>0</v>
      </c>
      <c r="I435" s="19">
        <f>12.425*2.6</f>
        <v>32.305</v>
      </c>
    </row>
    <row r="436" spans="1:11" ht="13.5" x14ac:dyDescent="0.2">
      <c r="A436" s="300"/>
      <c r="B436" s="308" t="s">
        <v>465</v>
      </c>
      <c r="C436" s="302" t="s">
        <v>335</v>
      </c>
      <c r="D436" s="303">
        <v>77.900000000000006</v>
      </c>
      <c r="E436" s="148"/>
      <c r="F436" s="149"/>
      <c r="G436" s="185">
        <f t="shared" si="85"/>
        <v>0</v>
      </c>
      <c r="I436" s="109">
        <f>19.75*1.425*2+13.5*1.6</f>
        <v>77.887500000000003</v>
      </c>
      <c r="K436" s="109"/>
    </row>
    <row r="437" spans="1:11" x14ac:dyDescent="0.2">
      <c r="A437" s="304" t="s">
        <v>142</v>
      </c>
      <c r="B437" s="305" t="s">
        <v>239</v>
      </c>
      <c r="C437" s="306"/>
      <c r="D437" s="307"/>
      <c r="E437" s="134"/>
      <c r="F437" s="135"/>
      <c r="G437" s="136">
        <f t="shared" ref="G437:G438" si="87">(D437*E437)+(D437*F437)</f>
        <v>0</v>
      </c>
      <c r="J437" s="19">
        <f>3.9*2.6</f>
        <v>10.14</v>
      </c>
      <c r="K437" s="109">
        <f>D437+J437</f>
        <v>10.14</v>
      </c>
    </row>
    <row r="438" spans="1:11" ht="13.5" x14ac:dyDescent="0.2">
      <c r="A438" s="300"/>
      <c r="B438" s="308" t="s">
        <v>373</v>
      </c>
      <c r="C438" s="302" t="s">
        <v>335</v>
      </c>
      <c r="D438" s="303">
        <v>43.45</v>
      </c>
      <c r="E438" s="148"/>
      <c r="F438" s="149"/>
      <c r="G438" s="185">
        <f t="shared" si="87"/>
        <v>0</v>
      </c>
      <c r="I438" s="19">
        <f>16.7*2.6</f>
        <v>43.42</v>
      </c>
    </row>
    <row r="439" spans="1:11" x14ac:dyDescent="0.2">
      <c r="A439" s="300"/>
      <c r="B439" s="308"/>
      <c r="C439" s="302"/>
      <c r="D439" s="303"/>
      <c r="E439" s="148"/>
      <c r="F439" s="149"/>
      <c r="G439" s="185"/>
    </row>
    <row r="440" spans="1:11" x14ac:dyDescent="0.2">
      <c r="A440" s="300"/>
      <c r="B440" s="308"/>
      <c r="C440" s="302"/>
      <c r="D440" s="303"/>
      <c r="E440" s="148"/>
      <c r="F440" s="149"/>
      <c r="G440" s="185"/>
    </row>
    <row r="441" spans="1:11" x14ac:dyDescent="0.2">
      <c r="A441" s="300"/>
      <c r="B441" s="308"/>
      <c r="C441" s="302"/>
      <c r="D441" s="303"/>
      <c r="E441" s="148"/>
      <c r="F441" s="149"/>
      <c r="G441" s="185"/>
    </row>
    <row r="442" spans="1:11" x14ac:dyDescent="0.2">
      <c r="A442" s="300"/>
      <c r="B442" s="308"/>
      <c r="C442" s="302"/>
      <c r="D442" s="303"/>
      <c r="E442" s="148"/>
      <c r="F442" s="149"/>
      <c r="G442" s="185"/>
    </row>
    <row r="443" spans="1:11" x14ac:dyDescent="0.2">
      <c r="A443" s="300"/>
      <c r="B443" s="308"/>
      <c r="C443" s="302"/>
      <c r="D443" s="303"/>
      <c r="E443" s="148"/>
      <c r="F443" s="149"/>
      <c r="G443" s="185"/>
    </row>
    <row r="444" spans="1:11" x14ac:dyDescent="0.2">
      <c r="A444" s="300"/>
      <c r="B444" s="308"/>
      <c r="C444" s="302"/>
      <c r="D444" s="303"/>
      <c r="E444" s="148"/>
      <c r="F444" s="149"/>
      <c r="G444" s="185"/>
    </row>
    <row r="445" spans="1:11" x14ac:dyDescent="0.2">
      <c r="A445" s="300"/>
      <c r="B445" s="308"/>
      <c r="C445" s="302"/>
      <c r="D445" s="303"/>
      <c r="E445" s="148"/>
      <c r="F445" s="149"/>
      <c r="G445" s="185"/>
    </row>
    <row r="446" spans="1:11" x14ac:dyDescent="0.2">
      <c r="A446" s="300"/>
      <c r="B446" s="308"/>
      <c r="C446" s="302"/>
      <c r="D446" s="303"/>
      <c r="E446" s="148"/>
      <c r="F446" s="149"/>
      <c r="G446" s="185"/>
    </row>
    <row r="447" spans="1:11" x14ac:dyDescent="0.2">
      <c r="A447" s="300"/>
      <c r="B447" s="308"/>
      <c r="C447" s="302"/>
      <c r="D447" s="303"/>
      <c r="E447" s="148"/>
      <c r="F447" s="149"/>
      <c r="G447" s="185"/>
    </row>
    <row r="448" spans="1:11" x14ac:dyDescent="0.2">
      <c r="A448" s="300"/>
      <c r="B448" s="308"/>
      <c r="C448" s="302"/>
      <c r="D448" s="303"/>
      <c r="E448" s="148"/>
      <c r="F448" s="149"/>
      <c r="G448" s="185"/>
    </row>
    <row r="449" spans="1:7" x14ac:dyDescent="0.2">
      <c r="A449" s="300"/>
      <c r="B449" s="308"/>
      <c r="C449" s="302"/>
      <c r="D449" s="303"/>
      <c r="E449" s="148"/>
      <c r="F449" s="149"/>
      <c r="G449" s="185"/>
    </row>
    <row r="450" spans="1:7" x14ac:dyDescent="0.2">
      <c r="A450" s="300"/>
      <c r="B450" s="308"/>
      <c r="C450" s="302"/>
      <c r="D450" s="303"/>
      <c r="E450" s="148"/>
      <c r="F450" s="149"/>
      <c r="G450" s="185"/>
    </row>
    <row r="451" spans="1:7" x14ac:dyDescent="0.2">
      <c r="A451" s="300"/>
      <c r="B451" s="308"/>
      <c r="C451" s="302"/>
      <c r="D451" s="303"/>
      <c r="E451" s="148"/>
      <c r="F451" s="149"/>
      <c r="G451" s="185"/>
    </row>
    <row r="452" spans="1:7" x14ac:dyDescent="0.2">
      <c r="A452" s="300"/>
      <c r="B452" s="308"/>
      <c r="C452" s="302"/>
      <c r="D452" s="303"/>
      <c r="E452" s="148"/>
      <c r="F452" s="149"/>
      <c r="G452" s="185"/>
    </row>
    <row r="453" spans="1:7" x14ac:dyDescent="0.2">
      <c r="A453" s="300"/>
      <c r="B453" s="308"/>
      <c r="C453" s="302"/>
      <c r="D453" s="303"/>
      <c r="E453" s="148"/>
      <c r="F453" s="149"/>
      <c r="G453" s="185"/>
    </row>
    <row r="454" spans="1:7" x14ac:dyDescent="0.2">
      <c r="A454" s="300"/>
      <c r="B454" s="308"/>
      <c r="C454" s="302"/>
      <c r="D454" s="303"/>
      <c r="E454" s="148"/>
      <c r="F454" s="149"/>
      <c r="G454" s="185"/>
    </row>
    <row r="455" spans="1:7" x14ac:dyDescent="0.2">
      <c r="A455" s="300"/>
      <c r="B455" s="308"/>
      <c r="C455" s="302"/>
      <c r="D455" s="303"/>
      <c r="E455" s="148"/>
      <c r="F455" s="149"/>
      <c r="G455" s="185"/>
    </row>
    <row r="456" spans="1:7" x14ac:dyDescent="0.2">
      <c r="A456" s="300"/>
      <c r="B456" s="308"/>
      <c r="C456" s="302"/>
      <c r="D456" s="303"/>
      <c r="E456" s="148"/>
      <c r="F456" s="149"/>
      <c r="G456" s="185"/>
    </row>
    <row r="457" spans="1:7" ht="12.75" thickBot="1" x14ac:dyDescent="0.25">
      <c r="A457" s="335"/>
      <c r="B457" s="336"/>
      <c r="C457" s="310"/>
      <c r="D457" s="311"/>
      <c r="E457" s="152"/>
      <c r="F457" s="153"/>
      <c r="G457" s="337"/>
    </row>
    <row r="458" spans="1:7" x14ac:dyDescent="0.2">
      <c r="A458" s="300"/>
      <c r="B458" s="308"/>
      <c r="C458" s="302"/>
      <c r="D458" s="303"/>
      <c r="E458" s="148"/>
      <c r="F458" s="149"/>
      <c r="G458" s="185"/>
    </row>
    <row r="459" spans="1:7" x14ac:dyDescent="0.2">
      <c r="A459" s="178" t="s">
        <v>134</v>
      </c>
      <c r="B459" s="179" t="s">
        <v>135</v>
      </c>
      <c r="C459" s="186"/>
      <c r="D459" s="187"/>
      <c r="E459" s="182"/>
      <c r="F459" s="183"/>
      <c r="G459" s="184"/>
    </row>
    <row r="460" spans="1:7" ht="35.25" customHeight="1" x14ac:dyDescent="0.2">
      <c r="A460" s="162"/>
      <c r="B460" s="381" t="s">
        <v>213</v>
      </c>
      <c r="C460" s="382"/>
      <c r="D460" s="382"/>
      <c r="E460" s="383"/>
      <c r="F460" s="49"/>
      <c r="G460" s="130"/>
    </row>
    <row r="461" spans="1:7" ht="15.75" customHeight="1" x14ac:dyDescent="0.2">
      <c r="A461" s="188"/>
      <c r="B461" s="381" t="s">
        <v>214</v>
      </c>
      <c r="C461" s="382"/>
      <c r="D461" s="382"/>
      <c r="E461" s="383"/>
      <c r="F461" s="49"/>
      <c r="G461" s="130"/>
    </row>
    <row r="462" spans="1:7" ht="28.5" customHeight="1" x14ac:dyDescent="0.2">
      <c r="A462" s="188"/>
      <c r="B462" s="381" t="s">
        <v>463</v>
      </c>
      <c r="C462" s="382"/>
      <c r="D462" s="382"/>
      <c r="E462" s="383"/>
      <c r="F462" s="49"/>
      <c r="G462" s="130"/>
    </row>
    <row r="463" spans="1:7" ht="37.5" customHeight="1" x14ac:dyDescent="0.2">
      <c r="A463" s="188"/>
      <c r="B463" s="381" t="s">
        <v>270</v>
      </c>
      <c r="C463" s="382"/>
      <c r="D463" s="382"/>
      <c r="E463" s="383"/>
      <c r="F463" s="49"/>
      <c r="G463" s="130"/>
    </row>
    <row r="464" spans="1:7" x14ac:dyDescent="0.2">
      <c r="A464" s="304" t="s">
        <v>140</v>
      </c>
      <c r="B464" s="305" t="s">
        <v>56</v>
      </c>
      <c r="C464" s="306"/>
      <c r="D464" s="307"/>
      <c r="E464" s="189"/>
      <c r="F464" s="135"/>
      <c r="G464" s="136"/>
    </row>
    <row r="465" spans="1:13" x14ac:dyDescent="0.2">
      <c r="A465" s="300" t="s">
        <v>215</v>
      </c>
      <c r="B465" s="309" t="s">
        <v>210</v>
      </c>
      <c r="C465" s="302"/>
      <c r="D465" s="303"/>
      <c r="E465" s="148"/>
      <c r="F465" s="149"/>
      <c r="G465" s="185"/>
      <c r="I465" s="190"/>
      <c r="J465" s="191"/>
      <c r="K465" s="192"/>
    </row>
    <row r="466" spans="1:13" x14ac:dyDescent="0.2">
      <c r="A466" s="300" t="s">
        <v>153</v>
      </c>
      <c r="B466" s="309" t="s">
        <v>462</v>
      </c>
      <c r="C466" s="302"/>
      <c r="D466" s="303"/>
      <c r="E466" s="148"/>
      <c r="F466" s="149"/>
      <c r="G466" s="185"/>
      <c r="I466" s="190"/>
      <c r="J466" s="191"/>
      <c r="K466" s="192"/>
    </row>
    <row r="467" spans="1:13" ht="13.5" x14ac:dyDescent="0.2">
      <c r="A467" s="300"/>
      <c r="B467" s="308" t="s">
        <v>267</v>
      </c>
      <c r="C467" s="302" t="s">
        <v>335</v>
      </c>
      <c r="D467" s="303">
        <v>205.84</v>
      </c>
      <c r="E467" s="148"/>
      <c r="F467" s="149"/>
      <c r="G467" s="185">
        <f t="shared" ref="G467:G470" si="88">(D467*E467)+(D467*F467)</f>
        <v>0</v>
      </c>
      <c r="I467" s="190"/>
      <c r="J467" s="191"/>
      <c r="K467" s="192"/>
    </row>
    <row r="468" spans="1:13" ht="13.5" x14ac:dyDescent="0.2">
      <c r="A468" s="300"/>
      <c r="B468" s="308" t="s">
        <v>454</v>
      </c>
      <c r="C468" s="302" t="s">
        <v>335</v>
      </c>
      <c r="D468" s="303">
        <v>156.04</v>
      </c>
      <c r="E468" s="148"/>
      <c r="F468" s="149"/>
      <c r="G468" s="185">
        <f t="shared" si="88"/>
        <v>0</v>
      </c>
      <c r="I468" s="190"/>
      <c r="J468" s="191"/>
      <c r="K468" s="192"/>
    </row>
    <row r="469" spans="1:13" ht="13.5" x14ac:dyDescent="0.2">
      <c r="A469" s="300"/>
      <c r="B469" s="308" t="s">
        <v>455</v>
      </c>
      <c r="C469" s="302" t="s">
        <v>335</v>
      </c>
      <c r="D469" s="303">
        <v>33.6</v>
      </c>
      <c r="E469" s="148"/>
      <c r="F469" s="149"/>
      <c r="G469" s="185">
        <f t="shared" si="88"/>
        <v>0</v>
      </c>
      <c r="I469" s="190"/>
      <c r="J469" s="191"/>
      <c r="K469" s="192"/>
    </row>
    <row r="470" spans="1:13" ht="13.5" x14ac:dyDescent="0.2">
      <c r="A470" s="300"/>
      <c r="B470" s="308" t="s">
        <v>456</v>
      </c>
      <c r="C470" s="302" t="s">
        <v>335</v>
      </c>
      <c r="D470" s="303">
        <v>15.6</v>
      </c>
      <c r="E470" s="148"/>
      <c r="F470" s="149"/>
      <c r="G470" s="185">
        <f t="shared" si="88"/>
        <v>0</v>
      </c>
      <c r="I470" s="190"/>
      <c r="J470" s="191"/>
      <c r="K470" s="192"/>
    </row>
    <row r="471" spans="1:13" x14ac:dyDescent="0.2">
      <c r="A471" s="300"/>
      <c r="B471" s="308"/>
      <c r="C471" s="302"/>
      <c r="D471" s="303"/>
      <c r="E471" s="148"/>
      <c r="F471" s="149"/>
      <c r="G471" s="185"/>
      <c r="I471" s="190"/>
      <c r="J471" s="191"/>
      <c r="K471" s="192"/>
    </row>
    <row r="472" spans="1:13" x14ac:dyDescent="0.2">
      <c r="A472" s="300" t="s">
        <v>154</v>
      </c>
      <c r="B472" s="309" t="s">
        <v>376</v>
      </c>
      <c r="C472" s="302"/>
      <c r="D472" s="303"/>
      <c r="E472" s="148"/>
      <c r="F472" s="149"/>
      <c r="G472" s="185"/>
      <c r="I472" s="190"/>
      <c r="J472" s="191"/>
      <c r="K472" s="192"/>
    </row>
    <row r="473" spans="1:13" ht="13.5" x14ac:dyDescent="0.2">
      <c r="A473" s="300"/>
      <c r="B473" s="308" t="s">
        <v>371</v>
      </c>
      <c r="C473" s="302" t="s">
        <v>335</v>
      </c>
      <c r="D473" s="303">
        <v>252.63</v>
      </c>
      <c r="E473" s="148"/>
      <c r="F473" s="149"/>
      <c r="G473" s="185">
        <f t="shared" ref="G473" si="89">(D473*E473)+(D473*F473)</f>
        <v>0</v>
      </c>
      <c r="I473" s="190"/>
      <c r="J473" s="191"/>
      <c r="K473" s="192"/>
      <c r="M473" s="137"/>
    </row>
    <row r="474" spans="1:13" x14ac:dyDescent="0.2">
      <c r="A474" s="300" t="s">
        <v>163</v>
      </c>
      <c r="B474" s="309" t="s">
        <v>228</v>
      </c>
      <c r="C474" s="302"/>
      <c r="D474" s="303"/>
      <c r="E474" s="148"/>
      <c r="F474" s="149"/>
      <c r="G474" s="185"/>
    </row>
    <row r="475" spans="1:13" ht="13.5" x14ac:dyDescent="0.2">
      <c r="A475" s="300"/>
      <c r="B475" s="308" t="s">
        <v>452</v>
      </c>
      <c r="C475" s="302" t="s">
        <v>335</v>
      </c>
      <c r="D475" s="303">
        <v>14.7</v>
      </c>
      <c r="E475" s="148"/>
      <c r="F475" s="149"/>
      <c r="G475" s="185">
        <f t="shared" ref="G475:G477" si="90">(D475*E475)+(D475*F475)</f>
        <v>0</v>
      </c>
      <c r="I475" s="19">
        <f>2.1*1.8</f>
        <v>3.7800000000000002</v>
      </c>
      <c r="J475" s="19">
        <f>0.9*0.18*17</f>
        <v>2.754</v>
      </c>
      <c r="K475" s="19">
        <f>SUM(I475:J475)</f>
        <v>6.5340000000000007</v>
      </c>
    </row>
    <row r="476" spans="1:13" ht="13.5" x14ac:dyDescent="0.2">
      <c r="A476" s="300"/>
      <c r="B476" s="308" t="s">
        <v>453</v>
      </c>
      <c r="C476" s="302" t="s">
        <v>335</v>
      </c>
      <c r="D476" s="303">
        <v>15.15</v>
      </c>
      <c r="E476" s="148"/>
      <c r="F476" s="149"/>
      <c r="G476" s="185">
        <f t="shared" si="90"/>
        <v>0</v>
      </c>
    </row>
    <row r="477" spans="1:13" ht="13.5" x14ac:dyDescent="0.2">
      <c r="A477" s="300"/>
      <c r="B477" s="308" t="s">
        <v>458</v>
      </c>
      <c r="C477" s="302" t="s">
        <v>335</v>
      </c>
      <c r="D477" s="303">
        <v>23.12</v>
      </c>
      <c r="E477" s="148"/>
      <c r="F477" s="149"/>
      <c r="G477" s="185">
        <f t="shared" si="90"/>
        <v>0</v>
      </c>
    </row>
    <row r="478" spans="1:13" x14ac:dyDescent="0.2">
      <c r="A478" s="300" t="s">
        <v>164</v>
      </c>
      <c r="B478" s="309" t="s">
        <v>229</v>
      </c>
      <c r="C478" s="302"/>
      <c r="D478" s="303"/>
      <c r="E478" s="148"/>
      <c r="F478" s="149"/>
      <c r="G478" s="185"/>
    </row>
    <row r="479" spans="1:13" ht="13.5" x14ac:dyDescent="0.2">
      <c r="A479" s="300"/>
      <c r="B479" s="308" t="s">
        <v>374</v>
      </c>
      <c r="C479" s="302" t="s">
        <v>335</v>
      </c>
      <c r="D479" s="303">
        <v>8.0150000000000006</v>
      </c>
      <c r="E479" s="148"/>
      <c r="F479" s="149"/>
      <c r="G479" s="185">
        <f t="shared" ref="G479" si="91">(D479*E479)+(D479*F479)</f>
        <v>0</v>
      </c>
    </row>
    <row r="480" spans="1:13" x14ac:dyDescent="0.2">
      <c r="A480" s="300" t="s">
        <v>216</v>
      </c>
      <c r="B480" s="309" t="s">
        <v>211</v>
      </c>
      <c r="C480" s="302"/>
      <c r="D480" s="303"/>
      <c r="E480" s="148"/>
      <c r="F480" s="149"/>
      <c r="G480" s="185"/>
      <c r="I480" s="190"/>
      <c r="J480" s="191"/>
      <c r="K480" s="192"/>
      <c r="L480" s="193"/>
      <c r="M480" s="194"/>
    </row>
    <row r="481" spans="1:13" ht="36" x14ac:dyDescent="0.2">
      <c r="A481" s="300"/>
      <c r="B481" s="309" t="s">
        <v>230</v>
      </c>
      <c r="C481" s="302"/>
      <c r="D481" s="303"/>
      <c r="E481" s="148"/>
      <c r="F481" s="149"/>
      <c r="G481" s="185"/>
      <c r="I481" s="195"/>
      <c r="J481" s="196"/>
      <c r="K481" s="197"/>
      <c r="L481" s="198"/>
      <c r="M481" s="199"/>
    </row>
    <row r="482" spans="1:13" ht="13.5" x14ac:dyDescent="0.2">
      <c r="A482" s="300"/>
      <c r="B482" s="308" t="s">
        <v>377</v>
      </c>
      <c r="C482" s="302" t="s">
        <v>335</v>
      </c>
      <c r="D482" s="303">
        <v>31.2</v>
      </c>
      <c r="E482" s="148"/>
      <c r="F482" s="149"/>
      <c r="G482" s="185">
        <f t="shared" ref="G482:G483" si="92">(D482*E482)+(D482*F482)</f>
        <v>0</v>
      </c>
      <c r="I482" s="109">
        <f>2.425*2+1.45*4+1.025*3+1.175</f>
        <v>14.899999999999999</v>
      </c>
      <c r="J482" s="137">
        <f>I482*2.4</f>
        <v>35.76</v>
      </c>
      <c r="K482" s="137">
        <f>0.6*1.9*4</f>
        <v>4.5599999999999996</v>
      </c>
      <c r="L482" s="109">
        <f>J482-K482</f>
        <v>31.2</v>
      </c>
      <c r="M482" s="137"/>
    </row>
    <row r="483" spans="1:13" ht="13.5" x14ac:dyDescent="0.2">
      <c r="A483" s="300"/>
      <c r="B483" s="308" t="s">
        <v>375</v>
      </c>
      <c r="C483" s="302" t="s">
        <v>335</v>
      </c>
      <c r="D483" s="303">
        <v>1.2</v>
      </c>
      <c r="E483" s="148"/>
      <c r="F483" s="149"/>
      <c r="G483" s="185">
        <f t="shared" si="92"/>
        <v>0</v>
      </c>
      <c r="I483" s="109">
        <f>1.175*1</f>
        <v>1.175</v>
      </c>
      <c r="J483" s="137"/>
      <c r="K483" s="137"/>
      <c r="L483" s="109"/>
      <c r="M483" s="137"/>
    </row>
    <row r="484" spans="1:13" ht="13.5" x14ac:dyDescent="0.2">
      <c r="A484" s="300"/>
      <c r="B484" s="308" t="s">
        <v>518</v>
      </c>
      <c r="C484" s="302" t="s">
        <v>335</v>
      </c>
      <c r="D484" s="303">
        <v>71.099999999999994</v>
      </c>
      <c r="E484" s="148"/>
      <c r="F484" s="149"/>
      <c r="G484" s="185">
        <f t="shared" ref="G484" si="93">(D484*E484)+(D484*F484)</f>
        <v>0</v>
      </c>
      <c r="I484" s="109">
        <f>7*2+6.4*2+7.7*2+5.2</f>
        <v>47.400000000000006</v>
      </c>
      <c r="J484" s="137">
        <f>I484*1.5</f>
        <v>71.100000000000009</v>
      </c>
      <c r="K484" s="137"/>
      <c r="L484" s="109"/>
      <c r="M484" s="137"/>
    </row>
    <row r="485" spans="1:13" x14ac:dyDescent="0.2">
      <c r="A485" s="300" t="s">
        <v>217</v>
      </c>
      <c r="B485" s="309" t="s">
        <v>212</v>
      </c>
      <c r="C485" s="302"/>
      <c r="D485" s="303"/>
      <c r="E485" s="148"/>
      <c r="F485" s="149"/>
      <c r="G485" s="185"/>
      <c r="I485" s="190"/>
      <c r="J485" s="191"/>
      <c r="K485" s="192"/>
      <c r="L485" s="192"/>
    </row>
    <row r="486" spans="1:13" x14ac:dyDescent="0.2">
      <c r="A486" s="300" t="s">
        <v>153</v>
      </c>
      <c r="B486" s="308" t="s">
        <v>460</v>
      </c>
      <c r="C486" s="302" t="s">
        <v>115</v>
      </c>
      <c r="D486" s="303">
        <v>333</v>
      </c>
      <c r="E486" s="148"/>
      <c r="F486" s="149"/>
      <c r="G486" s="185">
        <f t="shared" ref="G486" si="94">(D486*E486)+(D486*F486)</f>
        <v>0</v>
      </c>
      <c r="I486" s="19">
        <f>8.3*8+6.2*4+8.3*4+9.3*4+5.6*4+3*6+5.2*2+3.2+8.7+31.1+4.15+13*4+28.3+1.4+3.9*2+2.6</f>
        <v>351.65000000000003</v>
      </c>
      <c r="J486" s="19">
        <f>0.85*22</f>
        <v>18.7</v>
      </c>
      <c r="K486" s="19">
        <f>I486-J486</f>
        <v>332.95000000000005</v>
      </c>
      <c r="M486" s="19">
        <f>I486-L486</f>
        <v>351.65000000000003</v>
      </c>
    </row>
    <row r="487" spans="1:13" x14ac:dyDescent="0.2">
      <c r="A487" s="300"/>
      <c r="B487" s="308"/>
      <c r="C487" s="302"/>
      <c r="D487" s="303"/>
      <c r="E487" s="148"/>
      <c r="F487" s="149"/>
      <c r="G487" s="185"/>
    </row>
    <row r="488" spans="1:13" x14ac:dyDescent="0.2">
      <c r="A488" s="304" t="s">
        <v>141</v>
      </c>
      <c r="B488" s="305" t="s">
        <v>58</v>
      </c>
      <c r="C488" s="306"/>
      <c r="D488" s="307"/>
      <c r="E488" s="189"/>
      <c r="F488" s="135"/>
      <c r="G488" s="136"/>
    </row>
    <row r="489" spans="1:13" x14ac:dyDescent="0.2">
      <c r="A489" s="300" t="s">
        <v>215</v>
      </c>
      <c r="B489" s="309" t="s">
        <v>210</v>
      </c>
      <c r="C489" s="302"/>
      <c r="D489" s="303"/>
      <c r="E489" s="148"/>
      <c r="F489" s="149"/>
      <c r="G489" s="185"/>
      <c r="I489" s="190"/>
      <c r="J489" s="191"/>
      <c r="K489" s="192"/>
    </row>
    <row r="490" spans="1:13" x14ac:dyDescent="0.2">
      <c r="A490" s="300" t="s">
        <v>153</v>
      </c>
      <c r="B490" s="309" t="s">
        <v>462</v>
      </c>
      <c r="C490" s="302"/>
      <c r="D490" s="303"/>
      <c r="E490" s="148"/>
      <c r="F490" s="149"/>
      <c r="G490" s="185"/>
      <c r="I490" s="190"/>
      <c r="J490" s="191"/>
      <c r="K490" s="192"/>
    </row>
    <row r="491" spans="1:13" ht="13.5" x14ac:dyDescent="0.2">
      <c r="A491" s="300"/>
      <c r="B491" s="308" t="s">
        <v>267</v>
      </c>
      <c r="C491" s="302" t="s">
        <v>335</v>
      </c>
      <c r="D491" s="303">
        <v>102.92</v>
      </c>
      <c r="E491" s="148"/>
      <c r="F491" s="149"/>
      <c r="G491" s="185">
        <f t="shared" ref="G491" si="95">(D491*E491)+(D491*F491)</f>
        <v>0</v>
      </c>
      <c r="I491" s="190"/>
      <c r="J491" s="191"/>
      <c r="K491" s="192"/>
    </row>
    <row r="492" spans="1:13" x14ac:dyDescent="0.2">
      <c r="A492" s="300" t="s">
        <v>154</v>
      </c>
      <c r="B492" s="309" t="s">
        <v>376</v>
      </c>
      <c r="C492" s="302"/>
      <c r="D492" s="303"/>
      <c r="E492" s="148"/>
      <c r="F492" s="149"/>
      <c r="G492" s="185"/>
      <c r="I492" s="190"/>
      <c r="J492" s="191"/>
      <c r="K492" s="192"/>
    </row>
    <row r="493" spans="1:13" ht="13.5" x14ac:dyDescent="0.2">
      <c r="A493" s="300"/>
      <c r="B493" s="308" t="s">
        <v>464</v>
      </c>
      <c r="C493" s="302" t="s">
        <v>335</v>
      </c>
      <c r="D493" s="303">
        <v>46.5</v>
      </c>
      <c r="E493" s="148"/>
      <c r="F493" s="149"/>
      <c r="G493" s="185">
        <f t="shared" ref="G493" si="96">(D493*E493)+(D493*F493)</f>
        <v>0</v>
      </c>
      <c r="I493" s="190"/>
      <c r="J493" s="191"/>
      <c r="K493" s="192"/>
      <c r="M493" s="137"/>
    </row>
    <row r="494" spans="1:13" ht="13.5" x14ac:dyDescent="0.2">
      <c r="A494" s="300"/>
      <c r="B494" s="308" t="s">
        <v>372</v>
      </c>
      <c r="C494" s="302" t="s">
        <v>335</v>
      </c>
      <c r="D494" s="303">
        <v>55.95</v>
      </c>
      <c r="E494" s="148"/>
      <c r="F494" s="149"/>
      <c r="G494" s="185">
        <f t="shared" ref="G494" si="97">(D494*E494)+(D494*F494)</f>
        <v>0</v>
      </c>
      <c r="I494" s="344"/>
      <c r="J494" s="196"/>
      <c r="K494" s="197"/>
      <c r="M494" s="137"/>
    </row>
    <row r="495" spans="1:13" x14ac:dyDescent="0.2">
      <c r="A495" s="300" t="s">
        <v>163</v>
      </c>
      <c r="B495" s="309" t="s">
        <v>228</v>
      </c>
      <c r="C495" s="302"/>
      <c r="D495" s="303"/>
      <c r="E495" s="148"/>
      <c r="F495" s="149"/>
      <c r="G495" s="185"/>
    </row>
    <row r="496" spans="1:13" ht="13.5" x14ac:dyDescent="0.2">
      <c r="A496" s="300"/>
      <c r="B496" s="308" t="s">
        <v>452</v>
      </c>
      <c r="C496" s="302" t="s">
        <v>335</v>
      </c>
      <c r="D496" s="303">
        <v>14.7</v>
      </c>
      <c r="E496" s="148"/>
      <c r="F496" s="149"/>
      <c r="G496" s="185">
        <f t="shared" ref="G496" si="98">(D496*E496)+(D496*F496)</f>
        <v>0</v>
      </c>
      <c r="I496" s="19">
        <f>2.1*1.8</f>
        <v>3.7800000000000002</v>
      </c>
      <c r="J496" s="19">
        <f>0.9*0.18*17</f>
        <v>2.754</v>
      </c>
      <c r="K496" s="19">
        <f>SUM(I496:J496)</f>
        <v>6.5340000000000007</v>
      </c>
    </row>
    <row r="497" spans="1:13" x14ac:dyDescent="0.2">
      <c r="A497" s="300" t="s">
        <v>164</v>
      </c>
      <c r="B497" s="309" t="s">
        <v>229</v>
      </c>
      <c r="C497" s="302"/>
      <c r="D497" s="303"/>
      <c r="E497" s="148"/>
      <c r="F497" s="149"/>
      <c r="G497" s="185"/>
    </row>
    <row r="498" spans="1:13" ht="13.5" x14ac:dyDescent="0.2">
      <c r="A498" s="300"/>
      <c r="B498" s="308" t="s">
        <v>374</v>
      </c>
      <c r="C498" s="302" t="s">
        <v>335</v>
      </c>
      <c r="D498" s="303">
        <v>6.45</v>
      </c>
      <c r="E498" s="148"/>
      <c r="F498" s="149"/>
      <c r="G498" s="185">
        <f t="shared" ref="G498" si="99">(D498*E498)+(D498*F498)</f>
        <v>0</v>
      </c>
    </row>
    <row r="499" spans="1:13" x14ac:dyDescent="0.2">
      <c r="A499" s="300" t="s">
        <v>216</v>
      </c>
      <c r="B499" s="309" t="s">
        <v>211</v>
      </c>
      <c r="C499" s="302"/>
      <c r="D499" s="303"/>
      <c r="E499" s="148"/>
      <c r="F499" s="149"/>
      <c r="G499" s="185"/>
      <c r="I499" s="190"/>
      <c r="J499" s="191"/>
      <c r="K499" s="192"/>
      <c r="L499" s="193"/>
      <c r="M499" s="194"/>
    </row>
    <row r="500" spans="1:13" ht="36" x14ac:dyDescent="0.2">
      <c r="A500" s="300"/>
      <c r="B500" s="309" t="s">
        <v>230</v>
      </c>
      <c r="C500" s="302"/>
      <c r="D500" s="303"/>
      <c r="E500" s="148"/>
      <c r="F500" s="149"/>
      <c r="G500" s="185"/>
      <c r="I500" s="344"/>
      <c r="J500" s="196"/>
      <c r="K500" s="197"/>
      <c r="L500" s="198"/>
      <c r="M500" s="199"/>
    </row>
    <row r="501" spans="1:13" ht="13.5" x14ac:dyDescent="0.2">
      <c r="A501" s="300"/>
      <c r="B501" s="308" t="s">
        <v>377</v>
      </c>
      <c r="C501" s="302" t="s">
        <v>335</v>
      </c>
      <c r="D501" s="303">
        <v>35.9</v>
      </c>
      <c r="E501" s="148"/>
      <c r="F501" s="149"/>
      <c r="G501" s="185">
        <f t="shared" ref="G501" si="100">(D501*E501)+(D501*F501)</f>
        <v>0</v>
      </c>
      <c r="I501" s="109">
        <f>1.35*2+2.325*2+1.1*2+1.5*4</f>
        <v>15.55</v>
      </c>
      <c r="J501" s="137">
        <f>I501*2.6</f>
        <v>40.43</v>
      </c>
      <c r="K501" s="137">
        <f>0.6*1.9*4</f>
        <v>4.5599999999999996</v>
      </c>
      <c r="L501" s="109">
        <f>J501-K501</f>
        <v>35.869999999999997</v>
      </c>
      <c r="M501" s="137"/>
    </row>
    <row r="502" spans="1:13" x14ac:dyDescent="0.2">
      <c r="A502" s="300" t="s">
        <v>217</v>
      </c>
      <c r="B502" s="309" t="s">
        <v>212</v>
      </c>
      <c r="C502" s="302"/>
      <c r="D502" s="303"/>
      <c r="E502" s="148"/>
      <c r="F502" s="149"/>
      <c r="G502" s="185"/>
      <c r="I502" s="190"/>
      <c r="J502" s="191"/>
      <c r="K502" s="192"/>
      <c r="L502" s="192"/>
    </row>
    <row r="503" spans="1:13" x14ac:dyDescent="0.2">
      <c r="A503" s="300" t="s">
        <v>153</v>
      </c>
      <c r="B503" s="308" t="s">
        <v>460</v>
      </c>
      <c r="C503" s="302" t="s">
        <v>115</v>
      </c>
      <c r="D503" s="303">
        <v>164</v>
      </c>
      <c r="E503" s="148"/>
      <c r="F503" s="149"/>
      <c r="G503" s="185">
        <f t="shared" ref="G503" si="101">(D503*E503)+(D503*F503)</f>
        <v>0</v>
      </c>
      <c r="I503" s="19">
        <f>8.3*4+6.2*4+14.525*2+2.6+3.9*2+28.325*2+1.975*2+5.825*2+1.5</f>
        <v>171.2</v>
      </c>
      <c r="J503" s="19">
        <f>0.85*6+1.05*2</f>
        <v>7.1999999999999993</v>
      </c>
      <c r="K503" s="19">
        <f>I503-J503</f>
        <v>164</v>
      </c>
      <c r="M503" s="19">
        <f>I503-L503</f>
        <v>171.2</v>
      </c>
    </row>
    <row r="504" spans="1:13" ht="12.75" thickBot="1" x14ac:dyDescent="0.25">
      <c r="A504" s="335"/>
      <c r="B504" s="336"/>
      <c r="C504" s="310"/>
      <c r="D504" s="311"/>
      <c r="E504" s="152"/>
      <c r="F504" s="153"/>
      <c r="G504" s="337"/>
    </row>
    <row r="505" spans="1:13" x14ac:dyDescent="0.2">
      <c r="A505" s="300"/>
      <c r="B505" s="308"/>
      <c r="C505" s="302"/>
      <c r="D505" s="303"/>
      <c r="E505" s="148"/>
      <c r="F505" s="149"/>
      <c r="G505" s="185"/>
    </row>
    <row r="506" spans="1:13" x14ac:dyDescent="0.2">
      <c r="A506" s="304" t="s">
        <v>51</v>
      </c>
      <c r="B506" s="305" t="s">
        <v>60</v>
      </c>
      <c r="C506" s="306"/>
      <c r="D506" s="307"/>
      <c r="E506" s="189"/>
      <c r="F506" s="135"/>
      <c r="G506" s="136"/>
    </row>
    <row r="507" spans="1:13" x14ac:dyDescent="0.2">
      <c r="A507" s="300" t="s">
        <v>215</v>
      </c>
      <c r="B507" s="309" t="s">
        <v>210</v>
      </c>
      <c r="C507" s="302"/>
      <c r="D507" s="303"/>
      <c r="E507" s="148"/>
      <c r="F507" s="149"/>
      <c r="G507" s="185"/>
      <c r="I507" s="190"/>
      <c r="J507" s="191"/>
      <c r="K507" s="192"/>
    </row>
    <row r="508" spans="1:13" x14ac:dyDescent="0.2">
      <c r="A508" s="300" t="s">
        <v>153</v>
      </c>
      <c r="B508" s="309" t="s">
        <v>462</v>
      </c>
      <c r="C508" s="302"/>
      <c r="D508" s="303"/>
      <c r="E508" s="148"/>
      <c r="F508" s="149"/>
      <c r="G508" s="185"/>
      <c r="I508" s="190"/>
      <c r="J508" s="191"/>
      <c r="K508" s="192"/>
    </row>
    <row r="509" spans="1:13" ht="13.5" x14ac:dyDescent="0.2">
      <c r="A509" s="300"/>
      <c r="B509" s="308" t="s">
        <v>267</v>
      </c>
      <c r="C509" s="302" t="s">
        <v>335</v>
      </c>
      <c r="D509" s="303">
        <v>102.92</v>
      </c>
      <c r="E509" s="148"/>
      <c r="F509" s="149"/>
      <c r="G509" s="185">
        <f t="shared" ref="G509:G510" si="102">(D509*E509)+(D509*F509)</f>
        <v>0</v>
      </c>
      <c r="I509" s="190"/>
      <c r="J509" s="191"/>
      <c r="K509" s="192"/>
    </row>
    <row r="510" spans="1:13" ht="13.5" x14ac:dyDescent="0.2">
      <c r="A510" s="300"/>
      <c r="B510" s="308" t="s">
        <v>268</v>
      </c>
      <c r="C510" s="302" t="s">
        <v>335</v>
      </c>
      <c r="D510" s="303">
        <v>24.9</v>
      </c>
      <c r="E510" s="148"/>
      <c r="F510" s="149"/>
      <c r="G510" s="185">
        <f t="shared" si="102"/>
        <v>0</v>
      </c>
      <c r="I510" s="190"/>
      <c r="J510" s="191"/>
      <c r="K510" s="192"/>
    </row>
    <row r="511" spans="1:13" x14ac:dyDescent="0.2">
      <c r="A511" s="300" t="s">
        <v>154</v>
      </c>
      <c r="B511" s="309" t="s">
        <v>376</v>
      </c>
      <c r="C511" s="302"/>
      <c r="D511" s="303"/>
      <c r="E511" s="148"/>
      <c r="F511" s="149"/>
      <c r="G511" s="185"/>
      <c r="I511" s="190"/>
      <c r="J511" s="191"/>
      <c r="K511" s="192"/>
    </row>
    <row r="512" spans="1:13" ht="13.5" x14ac:dyDescent="0.2">
      <c r="A512" s="300"/>
      <c r="B512" s="308" t="s">
        <v>464</v>
      </c>
      <c r="C512" s="302" t="s">
        <v>335</v>
      </c>
      <c r="D512" s="303">
        <v>32.299999999999997</v>
      </c>
      <c r="E512" s="148"/>
      <c r="F512" s="149"/>
      <c r="G512" s="185">
        <f t="shared" ref="G512" si="103">(D512*E512)+(D512*F512)</f>
        <v>0</v>
      </c>
      <c r="I512" s="190"/>
      <c r="J512" s="191"/>
      <c r="K512" s="192"/>
      <c r="M512" s="137"/>
    </row>
    <row r="513" spans="1:13" x14ac:dyDescent="0.2">
      <c r="A513" s="300" t="s">
        <v>216</v>
      </c>
      <c r="B513" s="309" t="s">
        <v>212</v>
      </c>
      <c r="C513" s="302"/>
      <c r="D513" s="303"/>
      <c r="E513" s="148"/>
      <c r="F513" s="149"/>
      <c r="G513" s="185"/>
      <c r="I513" s="190"/>
      <c r="J513" s="191"/>
      <c r="K513" s="192"/>
      <c r="L513" s="192"/>
    </row>
    <row r="514" spans="1:13" x14ac:dyDescent="0.2">
      <c r="A514" s="300" t="s">
        <v>153</v>
      </c>
      <c r="B514" s="308" t="s">
        <v>460</v>
      </c>
      <c r="C514" s="302" t="s">
        <v>115</v>
      </c>
      <c r="D514" s="303">
        <v>104.5</v>
      </c>
      <c r="E514" s="148"/>
      <c r="F514" s="149"/>
      <c r="G514" s="185">
        <f t="shared" ref="G514" si="104">(D514*E514)+(D514*F514)</f>
        <v>0</v>
      </c>
      <c r="I514" s="19">
        <f>8.3*6+6.2*4+3*2+12.425*2+2.6*2</f>
        <v>110.65000000000002</v>
      </c>
      <c r="J514" s="19">
        <f>0.85*6+1.05</f>
        <v>6.1499999999999995</v>
      </c>
      <c r="K514" s="19">
        <f>I514-J514</f>
        <v>104.50000000000001</v>
      </c>
      <c r="M514" s="19">
        <f>I514-L514</f>
        <v>110.65000000000002</v>
      </c>
    </row>
    <row r="515" spans="1:13" x14ac:dyDescent="0.2">
      <c r="A515" s="300"/>
      <c r="B515" s="308"/>
      <c r="C515" s="302"/>
      <c r="D515" s="303"/>
      <c r="E515" s="148"/>
      <c r="F515" s="149"/>
      <c r="G515" s="185"/>
    </row>
    <row r="516" spans="1:13" x14ac:dyDescent="0.2">
      <c r="A516" s="304" t="s">
        <v>144</v>
      </c>
      <c r="B516" s="305" t="s">
        <v>239</v>
      </c>
      <c r="C516" s="306"/>
      <c r="D516" s="307"/>
      <c r="E516" s="189"/>
      <c r="F516" s="135"/>
      <c r="G516" s="136"/>
    </row>
    <row r="517" spans="1:13" x14ac:dyDescent="0.2">
      <c r="A517" s="300" t="s">
        <v>215</v>
      </c>
      <c r="B517" s="309" t="s">
        <v>210</v>
      </c>
      <c r="C517" s="302"/>
      <c r="D517" s="303"/>
      <c r="E517" s="148"/>
      <c r="F517" s="149"/>
      <c r="G517" s="185"/>
    </row>
    <row r="518" spans="1:13" x14ac:dyDescent="0.2">
      <c r="A518" s="300" t="s">
        <v>154</v>
      </c>
      <c r="B518" s="309" t="s">
        <v>378</v>
      </c>
      <c r="C518" s="302"/>
      <c r="D518" s="303"/>
      <c r="E518" s="148"/>
      <c r="F518" s="149"/>
      <c r="G518" s="185"/>
    </row>
    <row r="519" spans="1:13" ht="13.5" x14ac:dyDescent="0.2">
      <c r="A519" s="300"/>
      <c r="B519" s="308" t="s">
        <v>379</v>
      </c>
      <c r="C519" s="302" t="s">
        <v>335</v>
      </c>
      <c r="D519" s="303">
        <v>43.45</v>
      </c>
      <c r="E519" s="148"/>
      <c r="F519" s="149"/>
      <c r="G519" s="185">
        <f t="shared" ref="G519" si="105">(D519*E519)+(D519*F519)</f>
        <v>0</v>
      </c>
      <c r="I519" s="19">
        <f>16.7*2.6</f>
        <v>43.42</v>
      </c>
    </row>
    <row r="520" spans="1:13" x14ac:dyDescent="0.2">
      <c r="A520" s="300" t="s">
        <v>216</v>
      </c>
      <c r="B520" s="309" t="s">
        <v>380</v>
      </c>
      <c r="C520" s="302"/>
      <c r="D520" s="303"/>
      <c r="E520" s="148"/>
      <c r="F520" s="149"/>
      <c r="G520" s="185"/>
    </row>
    <row r="521" spans="1:13" ht="24" x14ac:dyDescent="0.2">
      <c r="A521" s="300" t="s">
        <v>153</v>
      </c>
      <c r="B521" s="308" t="s">
        <v>381</v>
      </c>
      <c r="C521" s="302" t="s">
        <v>115</v>
      </c>
      <c r="D521" s="303">
        <v>11.6</v>
      </c>
      <c r="E521" s="148"/>
      <c r="F521" s="149"/>
      <c r="G521" s="185">
        <f t="shared" ref="G521" si="106">(D521*E521)+(D521*F521)</f>
        <v>0</v>
      </c>
      <c r="I521" s="19">
        <f>(16.7+2.6)*2*0.3</f>
        <v>11.58</v>
      </c>
    </row>
    <row r="522" spans="1:13" x14ac:dyDescent="0.2">
      <c r="A522" s="204"/>
      <c r="B522" s="205"/>
      <c r="C522" s="146"/>
      <c r="D522" s="44"/>
      <c r="E522" s="148"/>
      <c r="F522" s="149"/>
      <c r="G522" s="185"/>
    </row>
    <row r="523" spans="1:13" x14ac:dyDescent="0.2">
      <c r="A523" s="200" t="s">
        <v>155</v>
      </c>
      <c r="B523" s="201" t="s">
        <v>195</v>
      </c>
      <c r="C523" s="101"/>
      <c r="D523" s="99"/>
      <c r="E523" s="100"/>
      <c r="F523" s="202"/>
      <c r="G523" s="203"/>
    </row>
    <row r="524" spans="1:13" ht="24" x14ac:dyDescent="0.2">
      <c r="A524" s="206" t="s">
        <v>382</v>
      </c>
      <c r="B524" s="205" t="s">
        <v>342</v>
      </c>
      <c r="C524" s="146" t="s">
        <v>14</v>
      </c>
      <c r="D524" s="44">
        <v>1</v>
      </c>
      <c r="E524" s="148"/>
      <c r="F524" s="149"/>
      <c r="G524" s="185">
        <f>(D524*E524)+(D524*F524)</f>
        <v>0</v>
      </c>
    </row>
    <row r="525" spans="1:13" x14ac:dyDescent="0.2">
      <c r="A525" s="204"/>
      <c r="B525" s="205"/>
      <c r="C525" s="146"/>
      <c r="D525" s="44"/>
      <c r="E525" s="148"/>
      <c r="F525" s="149"/>
      <c r="G525" s="185"/>
    </row>
    <row r="526" spans="1:13" x14ac:dyDescent="0.2">
      <c r="A526" s="200" t="s">
        <v>403</v>
      </c>
      <c r="B526" s="201" t="s">
        <v>466</v>
      </c>
      <c r="C526" s="101"/>
      <c r="D526" s="99"/>
      <c r="E526" s="100"/>
      <c r="F526" s="202"/>
      <c r="G526" s="203"/>
    </row>
    <row r="527" spans="1:13" ht="24" x14ac:dyDescent="0.2">
      <c r="A527" s="206" t="s">
        <v>382</v>
      </c>
      <c r="B527" s="205" t="s">
        <v>467</v>
      </c>
      <c r="C527" s="316"/>
      <c r="D527" s="44"/>
      <c r="E527" s="148"/>
      <c r="F527" s="149"/>
      <c r="G527" s="185"/>
      <c r="I527" s="19">
        <f>1.4*5</f>
        <v>7</v>
      </c>
    </row>
    <row r="528" spans="1:13" ht="13.5" x14ac:dyDescent="0.2">
      <c r="A528" s="204"/>
      <c r="B528" s="205" t="s">
        <v>468</v>
      </c>
      <c r="C528" s="316" t="s">
        <v>335</v>
      </c>
      <c r="D528" s="44">
        <v>8.02</v>
      </c>
      <c r="E528" s="148"/>
      <c r="F528" s="149"/>
      <c r="G528" s="185">
        <f t="shared" ref="G528:G530" si="107">(D528*E528)+(D528*F528)</f>
        <v>0</v>
      </c>
    </row>
    <row r="529" spans="1:7" ht="13.5" x14ac:dyDescent="0.2">
      <c r="A529" s="204"/>
      <c r="B529" s="205" t="s">
        <v>469</v>
      </c>
      <c r="C529" s="316" t="s">
        <v>335</v>
      </c>
      <c r="D529" s="44">
        <v>6.45</v>
      </c>
      <c r="E529" s="148"/>
      <c r="F529" s="149"/>
      <c r="G529" s="185">
        <f t="shared" si="107"/>
        <v>0</v>
      </c>
    </row>
    <row r="530" spans="1:7" ht="13.5" x14ac:dyDescent="0.2">
      <c r="A530" s="204"/>
      <c r="B530" s="205" t="s">
        <v>470</v>
      </c>
      <c r="C530" s="316" t="s">
        <v>335</v>
      </c>
      <c r="D530" s="44">
        <v>43.45</v>
      </c>
      <c r="E530" s="148"/>
      <c r="F530" s="149"/>
      <c r="G530" s="185">
        <f t="shared" si="107"/>
        <v>0</v>
      </c>
    </row>
    <row r="531" spans="1:7" x14ac:dyDescent="0.2">
      <c r="A531" s="204"/>
      <c r="B531" s="205"/>
      <c r="C531" s="146"/>
      <c r="D531" s="44"/>
      <c r="E531" s="148"/>
      <c r="F531" s="149"/>
      <c r="G531" s="185"/>
    </row>
    <row r="532" spans="1:7" x14ac:dyDescent="0.2">
      <c r="A532" s="204"/>
      <c r="B532" s="205"/>
      <c r="C532" s="146"/>
      <c r="D532" s="44"/>
      <c r="E532" s="148"/>
      <c r="F532" s="149"/>
      <c r="G532" s="185"/>
    </row>
    <row r="533" spans="1:7" x14ac:dyDescent="0.2">
      <c r="A533" s="204"/>
      <c r="B533" s="205"/>
      <c r="C533" s="146"/>
      <c r="D533" s="44"/>
      <c r="E533" s="148"/>
      <c r="F533" s="149"/>
      <c r="G533" s="185"/>
    </row>
    <row r="534" spans="1:7" x14ac:dyDescent="0.2">
      <c r="A534" s="204"/>
      <c r="B534" s="205"/>
      <c r="C534" s="146"/>
      <c r="D534" s="44"/>
      <c r="E534" s="148"/>
      <c r="F534" s="149"/>
      <c r="G534" s="185"/>
    </row>
    <row r="535" spans="1:7" x14ac:dyDescent="0.2">
      <c r="A535" s="204"/>
      <c r="B535" s="205"/>
      <c r="C535" s="146"/>
      <c r="D535" s="44"/>
      <c r="E535" s="148"/>
      <c r="F535" s="149"/>
      <c r="G535" s="185"/>
    </row>
    <row r="536" spans="1:7" x14ac:dyDescent="0.2">
      <c r="A536" s="204"/>
      <c r="B536" s="205"/>
      <c r="C536" s="146"/>
      <c r="D536" s="44"/>
      <c r="E536" s="148"/>
      <c r="F536" s="149"/>
      <c r="G536" s="185"/>
    </row>
    <row r="537" spans="1:7" x14ac:dyDescent="0.2">
      <c r="A537" s="204"/>
      <c r="B537" s="205"/>
      <c r="C537" s="146"/>
      <c r="D537" s="44"/>
      <c r="E537" s="148"/>
      <c r="F537" s="149"/>
      <c r="G537" s="185"/>
    </row>
    <row r="538" spans="1:7" x14ac:dyDescent="0.2">
      <c r="A538" s="204"/>
      <c r="B538" s="205"/>
      <c r="C538" s="146"/>
      <c r="D538" s="44"/>
      <c r="E538" s="148"/>
      <c r="F538" s="149"/>
      <c r="G538" s="185"/>
    </row>
    <row r="539" spans="1:7" x14ac:dyDescent="0.2">
      <c r="A539" s="204"/>
      <c r="B539" s="205"/>
      <c r="C539" s="146"/>
      <c r="D539" s="44"/>
      <c r="E539" s="148"/>
      <c r="F539" s="149"/>
      <c r="G539" s="185"/>
    </row>
    <row r="540" spans="1:7" x14ac:dyDescent="0.2">
      <c r="A540" s="204"/>
      <c r="B540" s="205"/>
      <c r="C540" s="146"/>
      <c r="D540" s="44"/>
      <c r="E540" s="148"/>
      <c r="F540" s="149"/>
      <c r="G540" s="185"/>
    </row>
    <row r="541" spans="1:7" x14ac:dyDescent="0.2">
      <c r="A541" s="204"/>
      <c r="B541" s="205"/>
      <c r="C541" s="146"/>
      <c r="D541" s="44"/>
      <c r="E541" s="148"/>
      <c r="F541" s="149"/>
      <c r="G541" s="185"/>
    </row>
    <row r="542" spans="1:7" x14ac:dyDescent="0.2">
      <c r="A542" s="204"/>
      <c r="B542" s="205"/>
      <c r="C542" s="146"/>
      <c r="D542" s="44"/>
      <c r="E542" s="148"/>
      <c r="F542" s="149"/>
      <c r="G542" s="185"/>
    </row>
    <row r="543" spans="1:7" x14ac:dyDescent="0.2">
      <c r="A543" s="204"/>
      <c r="B543" s="205"/>
      <c r="C543" s="146"/>
      <c r="D543" s="44"/>
      <c r="E543" s="148"/>
      <c r="F543" s="149"/>
      <c r="G543" s="185"/>
    </row>
    <row r="544" spans="1:7" x14ac:dyDescent="0.2">
      <c r="A544" s="204"/>
      <c r="B544" s="205"/>
      <c r="C544" s="146"/>
      <c r="D544" s="44"/>
      <c r="E544" s="148"/>
      <c r="F544" s="149"/>
      <c r="G544" s="185"/>
    </row>
    <row r="545" spans="1:7" x14ac:dyDescent="0.2">
      <c r="A545" s="204"/>
      <c r="B545" s="205"/>
      <c r="C545" s="146"/>
      <c r="D545" s="44"/>
      <c r="E545" s="148"/>
      <c r="F545" s="149"/>
      <c r="G545" s="185"/>
    </row>
    <row r="546" spans="1:7" x14ac:dyDescent="0.2">
      <c r="A546" s="204"/>
      <c r="B546" s="205"/>
      <c r="C546" s="146"/>
      <c r="D546" s="44"/>
      <c r="E546" s="148"/>
      <c r="F546" s="149"/>
      <c r="G546" s="185"/>
    </row>
    <row r="547" spans="1:7" x14ac:dyDescent="0.2">
      <c r="A547" s="204"/>
      <c r="B547" s="205"/>
      <c r="C547" s="146"/>
      <c r="D547" s="44"/>
      <c r="E547" s="148"/>
      <c r="F547" s="149"/>
      <c r="G547" s="185"/>
    </row>
    <row r="548" spans="1:7" x14ac:dyDescent="0.2">
      <c r="A548" s="204"/>
      <c r="B548" s="205"/>
      <c r="C548" s="146"/>
      <c r="D548" s="44"/>
      <c r="E548" s="148"/>
      <c r="F548" s="149"/>
      <c r="G548" s="185"/>
    </row>
    <row r="549" spans="1:7" x14ac:dyDescent="0.2">
      <c r="A549" s="204"/>
      <c r="B549" s="205"/>
      <c r="C549" s="146"/>
      <c r="D549" s="44"/>
      <c r="E549" s="148"/>
      <c r="F549" s="149"/>
      <c r="G549" s="185"/>
    </row>
    <row r="550" spans="1:7" x14ac:dyDescent="0.2">
      <c r="A550" s="204"/>
      <c r="B550" s="205"/>
      <c r="C550" s="146"/>
      <c r="D550" s="44"/>
      <c r="E550" s="148"/>
      <c r="F550" s="149"/>
      <c r="G550" s="185"/>
    </row>
    <row r="551" spans="1:7" x14ac:dyDescent="0.2">
      <c r="A551" s="204"/>
      <c r="B551" s="205"/>
      <c r="C551" s="146"/>
      <c r="D551" s="44"/>
      <c r="E551" s="148"/>
      <c r="F551" s="149"/>
      <c r="G551" s="185"/>
    </row>
    <row r="552" spans="1:7" x14ac:dyDescent="0.2">
      <c r="A552" s="204"/>
      <c r="B552" s="205"/>
      <c r="C552" s="146"/>
      <c r="D552" s="44"/>
      <c r="E552" s="148"/>
      <c r="F552" s="149"/>
      <c r="G552" s="185"/>
    </row>
    <row r="553" spans="1:7" x14ac:dyDescent="0.2">
      <c r="A553" s="204"/>
      <c r="B553" s="205"/>
      <c r="C553" s="146"/>
      <c r="D553" s="44"/>
      <c r="E553" s="148"/>
      <c r="F553" s="149"/>
      <c r="G553" s="185"/>
    </row>
    <row r="554" spans="1:7" x14ac:dyDescent="0.2">
      <c r="A554" s="204"/>
      <c r="B554" s="205"/>
      <c r="C554" s="146"/>
      <c r="D554" s="44"/>
      <c r="E554" s="148"/>
      <c r="F554" s="149"/>
      <c r="G554" s="185"/>
    </row>
    <row r="555" spans="1:7" x14ac:dyDescent="0.2">
      <c r="A555" s="204"/>
      <c r="B555" s="205"/>
      <c r="C555" s="146"/>
      <c r="D555" s="44"/>
      <c r="E555" s="148"/>
      <c r="F555" s="149"/>
      <c r="G555" s="185"/>
    </row>
    <row r="556" spans="1:7" x14ac:dyDescent="0.2">
      <c r="A556" s="204"/>
      <c r="B556" s="205"/>
      <c r="C556" s="146"/>
      <c r="D556" s="44"/>
      <c r="E556" s="148"/>
      <c r="F556" s="149"/>
      <c r="G556" s="185"/>
    </row>
    <row r="557" spans="1:7" ht="12.75" thickBot="1" x14ac:dyDescent="0.25">
      <c r="A557" s="204"/>
      <c r="B557" s="205"/>
      <c r="C557" s="146"/>
      <c r="D557" s="44"/>
      <c r="E557" s="148"/>
      <c r="F557" s="149"/>
      <c r="G557" s="185"/>
    </row>
    <row r="558" spans="1:7" x14ac:dyDescent="0.2">
      <c r="A558" s="55"/>
      <c r="B558" s="56" t="s">
        <v>136</v>
      </c>
      <c r="C558" s="92"/>
      <c r="D558" s="58"/>
      <c r="E558" s="59"/>
      <c r="F558" s="159"/>
      <c r="G558" s="160"/>
    </row>
    <row r="559" spans="1:7" ht="12.75" thickBot="1" x14ac:dyDescent="0.25">
      <c r="A559" s="60"/>
      <c r="B559" s="61" t="s">
        <v>137</v>
      </c>
      <c r="C559" s="93"/>
      <c r="D559" s="63"/>
      <c r="E559" s="64"/>
      <c r="F559" s="125"/>
      <c r="G559" s="161">
        <f>SUM(G412:G558)</f>
        <v>0</v>
      </c>
    </row>
    <row r="560" spans="1:7" x14ac:dyDescent="0.2">
      <c r="A560" s="27"/>
      <c r="B560" s="67"/>
      <c r="C560" s="43"/>
      <c r="D560" s="44"/>
      <c r="E560" s="31"/>
      <c r="F560" s="46"/>
      <c r="G560" s="120"/>
    </row>
    <row r="561" spans="1:11" x14ac:dyDescent="0.2">
      <c r="A561" s="27"/>
      <c r="B561" s="28" t="s">
        <v>175</v>
      </c>
      <c r="C561" s="43"/>
      <c r="D561" s="44"/>
      <c r="E561" s="31"/>
      <c r="F561" s="46"/>
      <c r="G561" s="47"/>
    </row>
    <row r="562" spans="1:11" x14ac:dyDescent="0.2">
      <c r="A562" s="27"/>
      <c r="B562" s="36" t="s">
        <v>100</v>
      </c>
      <c r="C562" s="43"/>
      <c r="D562" s="44"/>
      <c r="E562" s="31"/>
      <c r="F562" s="46"/>
      <c r="G562" s="47"/>
    </row>
    <row r="563" spans="1:11" x14ac:dyDescent="0.2">
      <c r="A563" s="162" t="s">
        <v>156</v>
      </c>
      <c r="B563" s="38" t="s">
        <v>40</v>
      </c>
      <c r="C563" s="43"/>
      <c r="D563" s="44"/>
      <c r="E563" s="31"/>
      <c r="F563" s="46"/>
      <c r="G563" s="47"/>
    </row>
    <row r="564" spans="1:11" ht="45" customHeight="1" x14ac:dyDescent="0.2">
      <c r="A564" s="27"/>
      <c r="B564" s="49" t="s">
        <v>243</v>
      </c>
      <c r="C564" s="163"/>
      <c r="D564" s="163"/>
      <c r="E564" s="163"/>
      <c r="F564" s="163"/>
      <c r="G564" s="164"/>
    </row>
    <row r="565" spans="1:11" ht="62.25" customHeight="1" x14ac:dyDescent="0.2">
      <c r="A565" s="27"/>
      <c r="B565" s="49" t="s">
        <v>242</v>
      </c>
      <c r="C565" s="163"/>
      <c r="D565" s="163"/>
      <c r="E565" s="163"/>
      <c r="F565" s="163"/>
      <c r="G565" s="164"/>
    </row>
    <row r="566" spans="1:11" ht="43.5" customHeight="1" x14ac:dyDescent="0.2">
      <c r="A566" s="27"/>
      <c r="B566" s="49" t="s">
        <v>241</v>
      </c>
      <c r="C566" s="163"/>
      <c r="D566" s="163"/>
      <c r="E566" s="163"/>
      <c r="F566" s="163"/>
      <c r="G566" s="164"/>
    </row>
    <row r="567" spans="1:11" ht="38.25" customHeight="1" x14ac:dyDescent="0.2">
      <c r="A567" s="27"/>
      <c r="B567" s="49" t="s">
        <v>240</v>
      </c>
      <c r="C567" s="163"/>
      <c r="D567" s="163"/>
      <c r="E567" s="163"/>
      <c r="F567" s="163"/>
      <c r="G567" s="164"/>
    </row>
    <row r="568" spans="1:11" ht="13.5" customHeight="1" x14ac:dyDescent="0.2">
      <c r="A568" s="27"/>
      <c r="B568" s="385" t="s">
        <v>193</v>
      </c>
      <c r="C568" s="386"/>
      <c r="D568" s="386"/>
      <c r="E568" s="386"/>
      <c r="F568" s="386"/>
      <c r="G568" s="387"/>
    </row>
    <row r="569" spans="1:11" x14ac:dyDescent="0.2">
      <c r="A569" s="207" t="s">
        <v>140</v>
      </c>
      <c r="B569" s="208" t="s">
        <v>102</v>
      </c>
      <c r="C569" s="209"/>
      <c r="D569" s="210"/>
      <c r="E569" s="189"/>
      <c r="F569" s="135"/>
      <c r="G569" s="136"/>
    </row>
    <row r="570" spans="1:11" x14ac:dyDescent="0.2">
      <c r="A570" s="211"/>
      <c r="B570" s="212" t="s">
        <v>305</v>
      </c>
      <c r="C570" s="213"/>
      <c r="D570" s="214"/>
      <c r="E570" s="215"/>
      <c r="F570" s="216"/>
      <c r="G570" s="217"/>
    </row>
    <row r="571" spans="1:11" s="172" customFormat="1" ht="24" x14ac:dyDescent="0.2">
      <c r="A571" s="50" t="s">
        <v>153</v>
      </c>
      <c r="B571" s="218" t="s">
        <v>439</v>
      </c>
      <c r="C571" s="219" t="s">
        <v>103</v>
      </c>
      <c r="D571" s="44">
        <v>11</v>
      </c>
      <c r="E571" s="31"/>
      <c r="F571" s="82"/>
      <c r="G571" s="83">
        <f t="shared" ref="G571" si="108">(D571*E571)+(D571*F571)</f>
        <v>0</v>
      </c>
      <c r="I571" s="221">
        <f>0.95*2</f>
        <v>1.9</v>
      </c>
      <c r="J571" s="221">
        <f t="shared" ref="J571" si="109">I571*D571</f>
        <v>20.9</v>
      </c>
      <c r="K571" s="220"/>
    </row>
    <row r="572" spans="1:11" s="172" customFormat="1" ht="39" customHeight="1" x14ac:dyDescent="0.2">
      <c r="A572" s="50" t="s">
        <v>154</v>
      </c>
      <c r="B572" s="218" t="s">
        <v>447</v>
      </c>
      <c r="C572" s="219" t="s">
        <v>103</v>
      </c>
      <c r="D572" s="44">
        <v>5</v>
      </c>
      <c r="E572" s="31"/>
      <c r="F572" s="82"/>
      <c r="G572" s="83">
        <f t="shared" ref="G572:G573" si="110">(D572*E572)+(D572*F572)</f>
        <v>0</v>
      </c>
      <c r="I572" s="221">
        <f>0.95*2</f>
        <v>1.9</v>
      </c>
      <c r="J572" s="221">
        <f t="shared" ref="J572" si="111">I572*D572</f>
        <v>9.5</v>
      </c>
      <c r="K572" s="220"/>
    </row>
    <row r="573" spans="1:11" s="172" customFormat="1" ht="39" customHeight="1" x14ac:dyDescent="0.2">
      <c r="A573" s="50" t="s">
        <v>163</v>
      </c>
      <c r="B573" s="218" t="s">
        <v>446</v>
      </c>
      <c r="C573" s="219" t="s">
        <v>103</v>
      </c>
      <c r="D573" s="44">
        <v>1</v>
      </c>
      <c r="E573" s="31"/>
      <c r="F573" s="82"/>
      <c r="G573" s="83">
        <f t="shared" si="110"/>
        <v>0</v>
      </c>
      <c r="I573" s="220">
        <f>0.95*2</f>
        <v>1.9</v>
      </c>
      <c r="J573" s="221">
        <f>I573*D573</f>
        <v>1.9</v>
      </c>
      <c r="K573" s="220"/>
    </row>
    <row r="574" spans="1:11" s="172" customFormat="1" ht="39" customHeight="1" x14ac:dyDescent="0.2">
      <c r="A574" s="50" t="s">
        <v>164</v>
      </c>
      <c r="B574" s="218" t="s">
        <v>448</v>
      </c>
      <c r="C574" s="219" t="s">
        <v>103</v>
      </c>
      <c r="D574" s="44">
        <v>2</v>
      </c>
      <c r="E574" s="31"/>
      <c r="F574" s="82"/>
      <c r="G574" s="83">
        <f t="shared" ref="G574" si="112">(D574*E574)+(D574*F574)</f>
        <v>0</v>
      </c>
      <c r="I574" s="220">
        <f>0.7*2</f>
        <v>1.4</v>
      </c>
      <c r="J574" s="221">
        <f>I574*D574</f>
        <v>2.8</v>
      </c>
      <c r="K574" s="220"/>
    </row>
    <row r="575" spans="1:11" ht="12" customHeight="1" x14ac:dyDescent="0.2">
      <c r="A575" s="211"/>
      <c r="B575" s="212" t="s">
        <v>304</v>
      </c>
      <c r="C575" s="213"/>
      <c r="D575" s="214"/>
      <c r="E575" s="215"/>
      <c r="F575" s="216"/>
      <c r="G575" s="217"/>
      <c r="I575" s="109"/>
      <c r="J575" s="221"/>
      <c r="K575" s="137"/>
    </row>
    <row r="576" spans="1:11" ht="47.25" customHeight="1" x14ac:dyDescent="0.2">
      <c r="A576" s="50" t="s">
        <v>153</v>
      </c>
      <c r="B576" s="218" t="s">
        <v>440</v>
      </c>
      <c r="C576" s="219" t="s">
        <v>103</v>
      </c>
      <c r="D576" s="44">
        <v>12</v>
      </c>
      <c r="E576" s="31"/>
      <c r="F576" s="82"/>
      <c r="G576" s="83">
        <f t="shared" ref="G576:G577" si="113">(D576*E576)+(D576*F576)</f>
        <v>0</v>
      </c>
      <c r="I576" s="109">
        <f>2.44*1.665</f>
        <v>4.0625999999999998</v>
      </c>
      <c r="J576" s="221">
        <f t="shared" ref="J576:J580" si="114">I576*D576</f>
        <v>48.751199999999997</v>
      </c>
      <c r="K576" s="137"/>
    </row>
    <row r="577" spans="1:13" ht="50.25" customHeight="1" x14ac:dyDescent="0.2">
      <c r="A577" s="50" t="s">
        <v>154</v>
      </c>
      <c r="B577" s="218" t="s">
        <v>441</v>
      </c>
      <c r="C577" s="219" t="s">
        <v>103</v>
      </c>
      <c r="D577" s="44">
        <v>9</v>
      </c>
      <c r="E577" s="31"/>
      <c r="F577" s="82"/>
      <c r="G577" s="83">
        <f t="shared" si="113"/>
        <v>0</v>
      </c>
      <c r="I577" s="109">
        <f>1.55*1</f>
        <v>1.55</v>
      </c>
      <c r="J577" s="221">
        <f t="shared" si="114"/>
        <v>13.950000000000001</v>
      </c>
      <c r="K577" s="137"/>
    </row>
    <row r="578" spans="1:13" ht="49.5" customHeight="1" x14ac:dyDescent="0.2">
      <c r="A578" s="50" t="s">
        <v>163</v>
      </c>
      <c r="B578" s="218" t="s">
        <v>442</v>
      </c>
      <c r="C578" s="219" t="s">
        <v>103</v>
      </c>
      <c r="D578" s="44">
        <v>2</v>
      </c>
      <c r="E578" s="31"/>
      <c r="F578" s="82"/>
      <c r="G578" s="83">
        <f t="shared" ref="G578" si="115">(D578*E578)+(D578*F578)</f>
        <v>0</v>
      </c>
      <c r="I578" s="109">
        <f>1.85*1.665</f>
        <v>3.0802500000000004</v>
      </c>
      <c r="J578" s="221">
        <f t="shared" si="114"/>
        <v>6.1605000000000008</v>
      </c>
      <c r="K578" s="137"/>
    </row>
    <row r="579" spans="1:13" ht="37.5" customHeight="1" x14ac:dyDescent="0.2">
      <c r="A579" s="50" t="s">
        <v>164</v>
      </c>
      <c r="B579" s="218" t="s">
        <v>443</v>
      </c>
      <c r="C579" s="219" t="s">
        <v>103</v>
      </c>
      <c r="D579" s="44">
        <v>3</v>
      </c>
      <c r="E579" s="31"/>
      <c r="F579" s="82"/>
      <c r="G579" s="83">
        <f t="shared" ref="G579" si="116">(D579*E579)+(D579*F579)</f>
        <v>0</v>
      </c>
      <c r="I579" s="109">
        <f>1.85*0.67</f>
        <v>1.2395</v>
      </c>
      <c r="J579" s="221">
        <f t="shared" si="114"/>
        <v>3.7185000000000001</v>
      </c>
      <c r="K579" s="137"/>
    </row>
    <row r="580" spans="1:13" ht="37.5" customHeight="1" x14ac:dyDescent="0.2">
      <c r="A580" s="50" t="s">
        <v>165</v>
      </c>
      <c r="B580" s="218" t="s">
        <v>444</v>
      </c>
      <c r="C580" s="219" t="s">
        <v>103</v>
      </c>
      <c r="D580" s="44">
        <v>2</v>
      </c>
      <c r="E580" s="31"/>
      <c r="F580" s="82"/>
      <c r="G580" s="83">
        <f t="shared" ref="G580" si="117">(D580*E580)+(D580*F580)</f>
        <v>0</v>
      </c>
      <c r="I580" s="109">
        <f>0.75*0.7</f>
        <v>0.52499999999999991</v>
      </c>
      <c r="J580" s="221">
        <f t="shared" si="114"/>
        <v>1.0499999999999998</v>
      </c>
      <c r="K580" s="137"/>
    </row>
    <row r="581" spans="1:13" ht="12" customHeight="1" x14ac:dyDescent="0.2">
      <c r="A581" s="211"/>
      <c r="B581" s="212" t="s">
        <v>303</v>
      </c>
      <c r="C581" s="213"/>
      <c r="D581" s="214"/>
      <c r="E581" s="215"/>
      <c r="F581" s="216"/>
      <c r="G581" s="217"/>
      <c r="I581" s="109"/>
      <c r="J581" s="221">
        <f>SUM(J571:J580)</f>
        <v>108.7302</v>
      </c>
      <c r="K581" s="137">
        <f>J572+J574</f>
        <v>12.3</v>
      </c>
      <c r="L581" s="109">
        <f>J581-K581</f>
        <v>96.430199999999999</v>
      </c>
      <c r="M581" s="109"/>
    </row>
    <row r="582" spans="1:13" ht="52.5" customHeight="1" thickBot="1" x14ac:dyDescent="0.25">
      <c r="A582" s="354" t="s">
        <v>153</v>
      </c>
      <c r="B582" s="338" t="s">
        <v>521</v>
      </c>
      <c r="C582" s="355" t="s">
        <v>103</v>
      </c>
      <c r="D582" s="63">
        <v>16</v>
      </c>
      <c r="E582" s="64"/>
      <c r="F582" s="356"/>
      <c r="G582" s="357">
        <f t="shared" ref="G582" si="118">(D582*E582)+(D582*F582)</f>
        <v>0</v>
      </c>
      <c r="I582" s="109"/>
      <c r="J582" s="221"/>
      <c r="K582" s="137"/>
    </row>
    <row r="583" spans="1:13" ht="12" customHeight="1" x14ac:dyDescent="0.2">
      <c r="A583" s="50"/>
      <c r="B583" s="218"/>
      <c r="C583" s="219"/>
      <c r="D583" s="44"/>
      <c r="E583" s="31"/>
      <c r="F583" s="82"/>
      <c r="G583" s="83"/>
      <c r="I583" s="109"/>
      <c r="J583" s="221"/>
      <c r="K583" s="137"/>
    </row>
    <row r="584" spans="1:13" x14ac:dyDescent="0.2">
      <c r="A584" s="207" t="s">
        <v>141</v>
      </c>
      <c r="B584" s="208" t="s">
        <v>58</v>
      </c>
      <c r="C584" s="209"/>
      <c r="D584" s="210"/>
      <c r="E584" s="189"/>
      <c r="F584" s="135"/>
      <c r="G584" s="136"/>
      <c r="J584" s="109"/>
      <c r="K584" s="109"/>
    </row>
    <row r="585" spans="1:13" x14ac:dyDescent="0.2">
      <c r="A585" s="211"/>
      <c r="B585" s="212" t="s">
        <v>305</v>
      </c>
      <c r="C585" s="213"/>
      <c r="D585" s="214"/>
      <c r="E585" s="215"/>
      <c r="F585" s="216"/>
      <c r="G585" s="217"/>
    </row>
    <row r="586" spans="1:13" ht="38.25" customHeight="1" x14ac:dyDescent="0.2">
      <c r="A586" s="50" t="s">
        <v>153</v>
      </c>
      <c r="B586" s="218" t="s">
        <v>445</v>
      </c>
      <c r="C586" s="219" t="s">
        <v>103</v>
      </c>
      <c r="D586" s="44">
        <v>8</v>
      </c>
      <c r="E586" s="31"/>
      <c r="F586" s="82"/>
      <c r="G586" s="83">
        <f t="shared" ref="G586:G590" si="119">(D586*E586)+(D586*F586)</f>
        <v>0</v>
      </c>
      <c r="H586" s="172"/>
      <c r="I586" s="220">
        <f>1.85*2.62</f>
        <v>4.8470000000000004</v>
      </c>
      <c r="J586" s="221">
        <f>I586*D586</f>
        <v>38.776000000000003</v>
      </c>
      <c r="K586" s="220"/>
      <c r="L586" s="172"/>
      <c r="M586" s="172"/>
    </row>
    <row r="587" spans="1:13" ht="24" x14ac:dyDescent="0.2">
      <c r="A587" s="50" t="s">
        <v>154</v>
      </c>
      <c r="B587" s="218" t="s">
        <v>439</v>
      </c>
      <c r="C587" s="219" t="s">
        <v>103</v>
      </c>
      <c r="D587" s="44">
        <v>3</v>
      </c>
      <c r="E587" s="31"/>
      <c r="F587" s="82"/>
      <c r="G587" s="83">
        <f t="shared" si="119"/>
        <v>0</v>
      </c>
      <c r="H587" s="172"/>
      <c r="I587" s="221">
        <f>0.95*2</f>
        <v>1.9</v>
      </c>
      <c r="J587" s="221">
        <f t="shared" ref="J587:J588" si="120">I587*D587</f>
        <v>5.6999999999999993</v>
      </c>
      <c r="K587" s="220"/>
      <c r="L587" s="172"/>
      <c r="M587" s="172"/>
    </row>
    <row r="588" spans="1:13" ht="36" x14ac:dyDescent="0.2">
      <c r="A588" s="50" t="s">
        <v>163</v>
      </c>
      <c r="B588" s="218" t="s">
        <v>447</v>
      </c>
      <c r="C588" s="219" t="s">
        <v>103</v>
      </c>
      <c r="D588" s="44">
        <v>5</v>
      </c>
      <c r="E588" s="31"/>
      <c r="F588" s="82"/>
      <c r="G588" s="83">
        <f t="shared" si="119"/>
        <v>0</v>
      </c>
      <c r="H588" s="172"/>
      <c r="I588" s="221">
        <f>0.95*2</f>
        <v>1.9</v>
      </c>
      <c r="J588" s="221">
        <f t="shared" si="120"/>
        <v>9.5</v>
      </c>
      <c r="K588" s="220"/>
      <c r="L588" s="172"/>
      <c r="M588" s="172"/>
    </row>
    <row r="589" spans="1:13" ht="36.75" customHeight="1" x14ac:dyDescent="0.2">
      <c r="A589" s="50" t="s">
        <v>164</v>
      </c>
      <c r="B589" s="218" t="s">
        <v>446</v>
      </c>
      <c r="C589" s="219" t="s">
        <v>103</v>
      </c>
      <c r="D589" s="44">
        <v>1</v>
      </c>
      <c r="E589" s="31"/>
      <c r="F589" s="82"/>
      <c r="G589" s="83">
        <f t="shared" si="119"/>
        <v>0</v>
      </c>
      <c r="H589" s="172"/>
      <c r="I589" s="220">
        <f>0.95*2</f>
        <v>1.9</v>
      </c>
      <c r="J589" s="221">
        <f>I589*D589</f>
        <v>1.9</v>
      </c>
      <c r="K589" s="220"/>
      <c r="L589" s="172"/>
      <c r="M589" s="172"/>
    </row>
    <row r="590" spans="1:13" ht="38.25" customHeight="1" x14ac:dyDescent="0.2">
      <c r="A590" s="50" t="s">
        <v>165</v>
      </c>
      <c r="B590" s="218" t="s">
        <v>448</v>
      </c>
      <c r="C590" s="219" t="s">
        <v>103</v>
      </c>
      <c r="D590" s="44">
        <v>2</v>
      </c>
      <c r="E590" s="31"/>
      <c r="F590" s="82"/>
      <c r="G590" s="83">
        <f t="shared" si="119"/>
        <v>0</v>
      </c>
      <c r="H590" s="172"/>
      <c r="I590" s="220">
        <f>0.7*2</f>
        <v>1.4</v>
      </c>
      <c r="J590" s="221">
        <f>I590*D590</f>
        <v>2.8</v>
      </c>
      <c r="K590" s="220"/>
      <c r="L590" s="172"/>
      <c r="M590" s="172"/>
    </row>
    <row r="591" spans="1:13" ht="13.5" customHeight="1" x14ac:dyDescent="0.2">
      <c r="A591" s="211"/>
      <c r="B591" s="212" t="s">
        <v>304</v>
      </c>
      <c r="C591" s="213"/>
      <c r="D591" s="214"/>
      <c r="E591" s="215"/>
      <c r="F591" s="216"/>
      <c r="G591" s="217"/>
      <c r="I591" s="109"/>
      <c r="J591" s="221"/>
      <c r="K591" s="137"/>
    </row>
    <row r="592" spans="1:13" ht="50.25" customHeight="1" x14ac:dyDescent="0.2">
      <c r="A592" s="50" t="s">
        <v>153</v>
      </c>
      <c r="B592" s="218" t="s">
        <v>440</v>
      </c>
      <c r="C592" s="219" t="s">
        <v>103</v>
      </c>
      <c r="D592" s="44">
        <v>5</v>
      </c>
      <c r="E592" s="31"/>
      <c r="F592" s="82"/>
      <c r="G592" s="83">
        <f t="shared" ref="G592:G595" si="121">(D592*E592)+(D592*F592)</f>
        <v>0</v>
      </c>
      <c r="I592" s="109">
        <f>2.44*1.665</f>
        <v>4.0625999999999998</v>
      </c>
      <c r="J592" s="221">
        <f t="shared" ref="J592:J595" si="122">I592*D592</f>
        <v>20.312999999999999</v>
      </c>
      <c r="K592" s="137"/>
    </row>
    <row r="593" spans="1:13" ht="51" customHeight="1" x14ac:dyDescent="0.2">
      <c r="A593" s="50" t="s">
        <v>154</v>
      </c>
      <c r="B593" s="218" t="s">
        <v>441</v>
      </c>
      <c r="C593" s="219" t="s">
        <v>103</v>
      </c>
      <c r="D593" s="44">
        <v>3</v>
      </c>
      <c r="E593" s="31"/>
      <c r="F593" s="82"/>
      <c r="G593" s="83">
        <f t="shared" si="121"/>
        <v>0</v>
      </c>
      <c r="I593" s="109">
        <f>1.55*1</f>
        <v>1.55</v>
      </c>
      <c r="J593" s="221">
        <f t="shared" si="122"/>
        <v>4.6500000000000004</v>
      </c>
      <c r="K593" s="137"/>
    </row>
    <row r="594" spans="1:13" ht="48.75" customHeight="1" x14ac:dyDescent="0.2">
      <c r="A594" s="50" t="s">
        <v>163</v>
      </c>
      <c r="B594" s="218" t="s">
        <v>442</v>
      </c>
      <c r="C594" s="219" t="s">
        <v>103</v>
      </c>
      <c r="D594" s="44">
        <v>7</v>
      </c>
      <c r="E594" s="31"/>
      <c r="F594" s="82"/>
      <c r="G594" s="83">
        <f t="shared" si="121"/>
        <v>0</v>
      </c>
      <c r="I594" s="109">
        <f>1.85*1.665</f>
        <v>3.0802500000000004</v>
      </c>
      <c r="J594" s="221">
        <f t="shared" si="122"/>
        <v>21.561750000000004</v>
      </c>
      <c r="K594" s="137"/>
    </row>
    <row r="595" spans="1:13" ht="40.5" customHeight="1" x14ac:dyDescent="0.2">
      <c r="A595" s="50" t="s">
        <v>164</v>
      </c>
      <c r="B595" s="218" t="s">
        <v>443</v>
      </c>
      <c r="C595" s="219" t="s">
        <v>103</v>
      </c>
      <c r="D595" s="44">
        <v>2</v>
      </c>
      <c r="E595" s="31"/>
      <c r="F595" s="82"/>
      <c r="G595" s="83">
        <f t="shared" si="121"/>
        <v>0</v>
      </c>
      <c r="I595" s="109">
        <f>1.85*0.67</f>
        <v>1.2395</v>
      </c>
      <c r="J595" s="221">
        <f t="shared" si="122"/>
        <v>2.4790000000000001</v>
      </c>
      <c r="K595" s="137"/>
    </row>
    <row r="596" spans="1:13" ht="12" customHeight="1" x14ac:dyDescent="0.2">
      <c r="A596" s="211"/>
      <c r="B596" s="212" t="s">
        <v>303</v>
      </c>
      <c r="C596" s="213"/>
      <c r="D596" s="214"/>
      <c r="E596" s="215"/>
      <c r="F596" s="216"/>
      <c r="G596" s="217"/>
      <c r="I596" s="109"/>
      <c r="J596" s="221">
        <f>SUM(J586:J595)</f>
        <v>107.67975</v>
      </c>
      <c r="K596" s="109"/>
      <c r="L596" s="109"/>
      <c r="M596" s="221"/>
    </row>
    <row r="597" spans="1:13" ht="36" customHeight="1" x14ac:dyDescent="0.2">
      <c r="A597" s="50" t="s">
        <v>153</v>
      </c>
      <c r="B597" s="218" t="s">
        <v>521</v>
      </c>
      <c r="C597" s="219" t="s">
        <v>103</v>
      </c>
      <c r="D597" s="44">
        <v>7</v>
      </c>
      <c r="E597" s="31"/>
      <c r="F597" s="82"/>
      <c r="G597" s="83">
        <f t="shared" ref="G597" si="123">(D597*E597)+(D597*F597)</f>
        <v>0</v>
      </c>
      <c r="I597" s="109"/>
      <c r="K597" s="109"/>
    </row>
    <row r="598" spans="1:13" ht="12" customHeight="1" x14ac:dyDescent="0.2">
      <c r="A598" s="50"/>
      <c r="B598" s="218"/>
      <c r="C598" s="219"/>
      <c r="D598" s="44"/>
      <c r="E598" s="31"/>
      <c r="F598" s="82"/>
      <c r="G598" s="83"/>
      <c r="I598" s="109"/>
      <c r="J598" s="221"/>
      <c r="K598" s="109"/>
    </row>
    <row r="599" spans="1:13" ht="12" customHeight="1" x14ac:dyDescent="0.2">
      <c r="A599" s="207" t="s">
        <v>51</v>
      </c>
      <c r="B599" s="208" t="s">
        <v>60</v>
      </c>
      <c r="C599" s="209"/>
      <c r="D599" s="210"/>
      <c r="E599" s="189"/>
      <c r="F599" s="135"/>
      <c r="G599" s="136"/>
      <c r="J599" s="221"/>
      <c r="K599" s="109"/>
    </row>
    <row r="600" spans="1:13" ht="12" customHeight="1" x14ac:dyDescent="0.2">
      <c r="A600" s="211"/>
      <c r="B600" s="212" t="s">
        <v>305</v>
      </c>
      <c r="C600" s="213"/>
      <c r="D600" s="214"/>
      <c r="E600" s="215"/>
      <c r="F600" s="216"/>
      <c r="G600" s="217"/>
    </row>
    <row r="601" spans="1:13" ht="38.25" customHeight="1" x14ac:dyDescent="0.2">
      <c r="A601" s="50" t="s">
        <v>153</v>
      </c>
      <c r="B601" s="218" t="s">
        <v>445</v>
      </c>
      <c r="C601" s="219" t="s">
        <v>103</v>
      </c>
      <c r="D601" s="44">
        <v>2</v>
      </c>
      <c r="E601" s="31"/>
      <c r="F601" s="82"/>
      <c r="G601" s="83">
        <f t="shared" ref="G601:G602" si="124">(D601*E601)+(D601*F601)</f>
        <v>0</v>
      </c>
      <c r="H601" s="172"/>
      <c r="I601" s="220">
        <f>1.85*2.62</f>
        <v>4.8470000000000004</v>
      </c>
      <c r="J601" s="221">
        <f>I601*D601</f>
        <v>9.6940000000000008</v>
      </c>
      <c r="K601" s="220"/>
      <c r="L601" s="172"/>
    </row>
    <row r="602" spans="1:13" ht="26.25" customHeight="1" x14ac:dyDescent="0.2">
      <c r="A602" s="50" t="s">
        <v>154</v>
      </c>
      <c r="B602" s="218" t="s">
        <v>439</v>
      </c>
      <c r="C602" s="219" t="s">
        <v>103</v>
      </c>
      <c r="D602" s="44">
        <v>3</v>
      </c>
      <c r="E602" s="31"/>
      <c r="F602" s="82"/>
      <c r="G602" s="83">
        <f t="shared" si="124"/>
        <v>0</v>
      </c>
      <c r="H602" s="172"/>
      <c r="I602" s="221">
        <f>0.95*2</f>
        <v>1.9</v>
      </c>
      <c r="J602" s="221">
        <f t="shared" ref="J602" si="125">I602*D602</f>
        <v>5.6999999999999993</v>
      </c>
      <c r="K602" s="220"/>
      <c r="L602" s="172"/>
    </row>
    <row r="603" spans="1:13" x14ac:dyDescent="0.2">
      <c r="A603" s="211"/>
      <c r="B603" s="212" t="s">
        <v>304</v>
      </c>
      <c r="C603" s="213"/>
      <c r="D603" s="214"/>
      <c r="E603" s="215"/>
      <c r="F603" s="216"/>
      <c r="G603" s="217"/>
      <c r="I603" s="109"/>
      <c r="J603" s="221"/>
      <c r="K603" s="137"/>
    </row>
    <row r="604" spans="1:13" ht="48" x14ac:dyDescent="0.2">
      <c r="A604" s="50" t="s">
        <v>153</v>
      </c>
      <c r="B604" s="218" t="s">
        <v>440</v>
      </c>
      <c r="C604" s="219" t="s">
        <v>103</v>
      </c>
      <c r="D604" s="44">
        <v>5</v>
      </c>
      <c r="E604" s="31"/>
      <c r="F604" s="82"/>
      <c r="G604" s="83">
        <f t="shared" ref="G604:G607" si="126">(D604*E604)+(D604*F604)</f>
        <v>0</v>
      </c>
      <c r="I604" s="109">
        <f>2.44*1.665</f>
        <v>4.0625999999999998</v>
      </c>
      <c r="J604" s="221">
        <f t="shared" ref="J604:J607" si="127">I604*D604</f>
        <v>20.312999999999999</v>
      </c>
      <c r="K604" s="137"/>
    </row>
    <row r="605" spans="1:13" ht="48.75" thickBot="1" x14ac:dyDescent="0.25">
      <c r="A605" s="354" t="s">
        <v>154</v>
      </c>
      <c r="B605" s="338" t="s">
        <v>441</v>
      </c>
      <c r="C605" s="355" t="s">
        <v>103</v>
      </c>
      <c r="D605" s="63">
        <v>3</v>
      </c>
      <c r="E605" s="64"/>
      <c r="F605" s="356"/>
      <c r="G605" s="357">
        <f t="shared" si="126"/>
        <v>0</v>
      </c>
      <c r="I605" s="109">
        <f>1.55*1</f>
        <v>1.55</v>
      </c>
      <c r="J605" s="221">
        <f t="shared" si="127"/>
        <v>4.6500000000000004</v>
      </c>
      <c r="K605" s="137"/>
    </row>
    <row r="606" spans="1:13" ht="48" x14ac:dyDescent="0.2">
      <c r="A606" s="50" t="s">
        <v>163</v>
      </c>
      <c r="B606" s="218" t="s">
        <v>442</v>
      </c>
      <c r="C606" s="219" t="s">
        <v>103</v>
      </c>
      <c r="D606" s="44">
        <v>13</v>
      </c>
      <c r="E606" s="31"/>
      <c r="F606" s="82"/>
      <c r="G606" s="83">
        <f t="shared" si="126"/>
        <v>0</v>
      </c>
      <c r="I606" s="109">
        <f>1.85*1.665</f>
        <v>3.0802500000000004</v>
      </c>
      <c r="J606" s="221">
        <f t="shared" si="127"/>
        <v>40.043250000000008</v>
      </c>
      <c r="K606" s="137"/>
    </row>
    <row r="607" spans="1:13" ht="36" x14ac:dyDescent="0.2">
      <c r="A607" s="50" t="s">
        <v>164</v>
      </c>
      <c r="B607" s="218" t="s">
        <v>443</v>
      </c>
      <c r="C607" s="219" t="s">
        <v>103</v>
      </c>
      <c r="D607" s="44">
        <v>1</v>
      </c>
      <c r="E607" s="31"/>
      <c r="F607" s="82"/>
      <c r="G607" s="83">
        <f t="shared" si="126"/>
        <v>0</v>
      </c>
      <c r="I607" s="109">
        <f>1.85*0.67</f>
        <v>1.2395</v>
      </c>
      <c r="J607" s="221">
        <f t="shared" si="127"/>
        <v>1.2395</v>
      </c>
      <c r="K607" s="137"/>
    </row>
    <row r="608" spans="1:13" x14ac:dyDescent="0.2">
      <c r="A608" s="211"/>
      <c r="B608" s="212" t="s">
        <v>303</v>
      </c>
      <c r="C608" s="213"/>
      <c r="D608" s="214"/>
      <c r="E608" s="215"/>
      <c r="F608" s="216"/>
      <c r="G608" s="217"/>
      <c r="I608" s="137"/>
      <c r="J608" s="109">
        <f>SUM(J601:J607)</f>
        <v>81.639750000000006</v>
      </c>
      <c r="K608" s="109">
        <f>J601+J602+J605</f>
        <v>20.044</v>
      </c>
      <c r="L608" s="109">
        <f>J608-K608</f>
        <v>61.59575000000001</v>
      </c>
    </row>
    <row r="609" spans="1:10" ht="24" x14ac:dyDescent="0.2">
      <c r="A609" s="50" t="s">
        <v>153</v>
      </c>
      <c r="B609" s="218" t="s">
        <v>306</v>
      </c>
      <c r="C609" s="219" t="s">
        <v>103</v>
      </c>
      <c r="D609" s="44">
        <v>10</v>
      </c>
      <c r="E609" s="31"/>
      <c r="F609" s="82"/>
      <c r="G609" s="83">
        <f t="shared" ref="G609:G610" si="128">(D609*E609)+(D609*F609)</f>
        <v>0</v>
      </c>
      <c r="I609" s="137"/>
      <c r="J609" s="109"/>
    </row>
    <row r="610" spans="1:10" ht="24" x14ac:dyDescent="0.2">
      <c r="A610" s="50" t="s">
        <v>154</v>
      </c>
      <c r="B610" s="218" t="s">
        <v>307</v>
      </c>
      <c r="C610" s="219" t="s">
        <v>103</v>
      </c>
      <c r="D610" s="44">
        <v>2</v>
      </c>
      <c r="E610" s="31"/>
      <c r="F610" s="82"/>
      <c r="G610" s="83">
        <f t="shared" si="128"/>
        <v>0</v>
      </c>
      <c r="I610" s="137"/>
      <c r="J610" s="109"/>
    </row>
    <row r="611" spans="1:10" x14ac:dyDescent="0.2">
      <c r="A611" s="50"/>
      <c r="B611" s="218"/>
      <c r="C611" s="219"/>
      <c r="D611" s="44"/>
      <c r="E611" s="31"/>
      <c r="F611" s="82"/>
      <c r="G611" s="83"/>
      <c r="I611" s="137"/>
      <c r="J611" s="109"/>
    </row>
    <row r="612" spans="1:10" x14ac:dyDescent="0.2">
      <c r="A612" s="50"/>
      <c r="B612" s="218"/>
      <c r="C612" s="219"/>
      <c r="D612" s="44"/>
      <c r="E612" s="31"/>
      <c r="F612" s="82"/>
      <c r="G612" s="83"/>
      <c r="I612" s="137"/>
      <c r="J612" s="109"/>
    </row>
    <row r="613" spans="1:10" x14ac:dyDescent="0.2">
      <c r="A613" s="50"/>
      <c r="B613" s="218"/>
      <c r="C613" s="219"/>
      <c r="D613" s="44"/>
      <c r="E613" s="31"/>
      <c r="F613" s="82"/>
      <c r="G613" s="83"/>
      <c r="I613" s="137"/>
      <c r="J613" s="109"/>
    </row>
    <row r="614" spans="1:10" x14ac:dyDescent="0.2">
      <c r="A614" s="50"/>
      <c r="B614" s="218"/>
      <c r="C614" s="219"/>
      <c r="D614" s="44"/>
      <c r="E614" s="31"/>
      <c r="F614" s="82"/>
      <c r="G614" s="83"/>
      <c r="I614" s="137"/>
      <c r="J614" s="109"/>
    </row>
    <row r="615" spans="1:10" x14ac:dyDescent="0.2">
      <c r="A615" s="50"/>
      <c r="B615" s="218"/>
      <c r="C615" s="219"/>
      <c r="D615" s="44"/>
      <c r="E615" s="31"/>
      <c r="F615" s="82"/>
      <c r="G615" s="83"/>
      <c r="I615" s="137"/>
      <c r="J615" s="109"/>
    </row>
    <row r="616" spans="1:10" x14ac:dyDescent="0.2">
      <c r="A616" s="50"/>
      <c r="B616" s="218"/>
      <c r="C616" s="219"/>
      <c r="D616" s="44"/>
      <c r="E616" s="31"/>
      <c r="F616" s="82"/>
      <c r="G616" s="83"/>
      <c r="I616" s="137"/>
      <c r="J616" s="109"/>
    </row>
    <row r="617" spans="1:10" x14ac:dyDescent="0.2">
      <c r="A617" s="50"/>
      <c r="B617" s="218"/>
      <c r="C617" s="219"/>
      <c r="D617" s="44"/>
      <c r="E617" s="31"/>
      <c r="F617" s="82"/>
      <c r="G617" s="83"/>
      <c r="I617" s="137"/>
      <c r="J617" s="109"/>
    </row>
    <row r="618" spans="1:10" x14ac:dyDescent="0.2">
      <c r="A618" s="50"/>
      <c r="B618" s="218"/>
      <c r="C618" s="219"/>
      <c r="D618" s="44"/>
      <c r="E618" s="31"/>
      <c r="F618" s="82"/>
      <c r="G618" s="83"/>
      <c r="I618" s="137"/>
      <c r="J618" s="109"/>
    </row>
    <row r="619" spans="1:10" x14ac:dyDescent="0.2">
      <c r="A619" s="50"/>
      <c r="B619" s="218"/>
      <c r="C619" s="219"/>
      <c r="D619" s="44"/>
      <c r="E619" s="31"/>
      <c r="F619" s="82"/>
      <c r="G619" s="83"/>
      <c r="I619" s="137"/>
      <c r="J619" s="109"/>
    </row>
    <row r="620" spans="1:10" x14ac:dyDescent="0.2">
      <c r="A620" s="50"/>
      <c r="B620" s="218"/>
      <c r="C620" s="219"/>
      <c r="D620" s="44"/>
      <c r="E620" s="31"/>
      <c r="F620" s="82"/>
      <c r="G620" s="83"/>
      <c r="I620" s="137"/>
      <c r="J620" s="109"/>
    </row>
    <row r="621" spans="1:10" x14ac:dyDescent="0.2">
      <c r="A621" s="50"/>
      <c r="B621" s="218"/>
      <c r="C621" s="219"/>
      <c r="D621" s="44"/>
      <c r="E621" s="31"/>
      <c r="F621" s="82"/>
      <c r="G621" s="83"/>
      <c r="I621" s="137"/>
      <c r="J621" s="109"/>
    </row>
    <row r="622" spans="1:10" x14ac:dyDescent="0.2">
      <c r="A622" s="50"/>
      <c r="B622" s="218"/>
      <c r="C622" s="219"/>
      <c r="D622" s="44"/>
      <c r="E622" s="31"/>
      <c r="F622" s="82"/>
      <c r="G622" s="83"/>
      <c r="I622" s="137"/>
      <c r="J622" s="109"/>
    </row>
    <row r="623" spans="1:10" x14ac:dyDescent="0.2">
      <c r="A623" s="50"/>
      <c r="B623" s="218"/>
      <c r="C623" s="219"/>
      <c r="D623" s="44"/>
      <c r="E623" s="31"/>
      <c r="F623" s="82"/>
      <c r="G623" s="83"/>
      <c r="I623" s="137"/>
      <c r="J623" s="109"/>
    </row>
    <row r="624" spans="1:10" x14ac:dyDescent="0.2">
      <c r="A624" s="50"/>
      <c r="B624" s="218"/>
      <c r="C624" s="219"/>
      <c r="D624" s="44"/>
      <c r="E624" s="31"/>
      <c r="F624" s="82"/>
      <c r="G624" s="83"/>
      <c r="I624" s="137"/>
      <c r="J624" s="109"/>
    </row>
    <row r="625" spans="1:10" x14ac:dyDescent="0.2">
      <c r="A625" s="50"/>
      <c r="B625" s="218"/>
      <c r="C625" s="219"/>
      <c r="D625" s="44"/>
      <c r="E625" s="31"/>
      <c r="F625" s="82"/>
      <c r="G625" s="83"/>
      <c r="I625" s="137"/>
      <c r="J625" s="109"/>
    </row>
    <row r="626" spans="1:10" x14ac:dyDescent="0.2">
      <c r="A626" s="50"/>
      <c r="B626" s="218"/>
      <c r="C626" s="219"/>
      <c r="D626" s="44"/>
      <c r="E626" s="31"/>
      <c r="F626" s="82"/>
      <c r="G626" s="83"/>
      <c r="I626" s="137"/>
      <c r="J626" s="109"/>
    </row>
    <row r="627" spans="1:10" x14ac:dyDescent="0.2">
      <c r="A627" s="50"/>
      <c r="B627" s="218"/>
      <c r="C627" s="219"/>
      <c r="D627" s="44"/>
      <c r="E627" s="31"/>
      <c r="F627" s="82"/>
      <c r="G627" s="83"/>
      <c r="I627" s="137"/>
      <c r="J627" s="109"/>
    </row>
    <row r="628" spans="1:10" x14ac:dyDescent="0.2">
      <c r="A628" s="50"/>
      <c r="B628" s="218"/>
      <c r="C628" s="219"/>
      <c r="D628" s="44"/>
      <c r="E628" s="31"/>
      <c r="F628" s="82"/>
      <c r="G628" s="83"/>
      <c r="I628" s="137"/>
      <c r="J628" s="109"/>
    </row>
    <row r="629" spans="1:10" x14ac:dyDescent="0.2">
      <c r="A629" s="50"/>
      <c r="B629" s="218"/>
      <c r="C629" s="219"/>
      <c r="D629" s="44"/>
      <c r="E629" s="31"/>
      <c r="F629" s="82"/>
      <c r="G629" s="83"/>
      <c r="I629" s="137"/>
      <c r="J629" s="109"/>
    </row>
    <row r="630" spans="1:10" x14ac:dyDescent="0.2">
      <c r="A630" s="50"/>
      <c r="B630" s="218"/>
      <c r="C630" s="219"/>
      <c r="D630" s="44"/>
      <c r="E630" s="31"/>
      <c r="F630" s="82"/>
      <c r="G630" s="83"/>
      <c r="I630" s="137"/>
      <c r="J630" s="109"/>
    </row>
    <row r="631" spans="1:10" x14ac:dyDescent="0.2">
      <c r="A631" s="50"/>
      <c r="B631" s="218"/>
      <c r="C631" s="219"/>
      <c r="D631" s="44"/>
      <c r="E631" s="31"/>
      <c r="F631" s="82"/>
      <c r="G631" s="83"/>
      <c r="I631" s="137"/>
      <c r="J631" s="109"/>
    </row>
    <row r="632" spans="1:10" x14ac:dyDescent="0.2">
      <c r="A632" s="50"/>
      <c r="B632" s="218"/>
      <c r="C632" s="219"/>
      <c r="D632" s="44"/>
      <c r="E632" s="31"/>
      <c r="F632" s="82"/>
      <c r="G632" s="83"/>
      <c r="I632" s="137"/>
      <c r="J632" s="109"/>
    </row>
    <row r="633" spans="1:10" x14ac:dyDescent="0.2">
      <c r="A633" s="50"/>
      <c r="B633" s="218"/>
      <c r="C633" s="219"/>
      <c r="D633" s="44"/>
      <c r="E633" s="31"/>
      <c r="F633" s="82"/>
      <c r="G633" s="83"/>
      <c r="I633" s="137"/>
      <c r="J633" s="109"/>
    </row>
    <row r="634" spans="1:10" x14ac:dyDescent="0.2">
      <c r="A634" s="50"/>
      <c r="B634" s="218"/>
      <c r="C634" s="219"/>
      <c r="D634" s="44"/>
      <c r="E634" s="31"/>
      <c r="F634" s="82"/>
      <c r="G634" s="83"/>
      <c r="I634" s="137"/>
      <c r="J634" s="109"/>
    </row>
    <row r="635" spans="1:10" x14ac:dyDescent="0.2">
      <c r="A635" s="50"/>
      <c r="B635" s="218"/>
      <c r="C635" s="219"/>
      <c r="D635" s="44"/>
      <c r="E635" s="31"/>
      <c r="F635" s="82"/>
      <c r="G635" s="83"/>
      <c r="I635" s="137"/>
      <c r="J635" s="109"/>
    </row>
    <row r="636" spans="1:10" x14ac:dyDescent="0.2">
      <c r="A636" s="50"/>
      <c r="B636" s="218"/>
      <c r="C636" s="219"/>
      <c r="D636" s="44"/>
      <c r="E636" s="31"/>
      <c r="F636" s="82"/>
      <c r="G636" s="83"/>
      <c r="I636" s="137"/>
      <c r="J636" s="109"/>
    </row>
    <row r="637" spans="1:10" x14ac:dyDescent="0.2">
      <c r="A637" s="50"/>
      <c r="B637" s="218"/>
      <c r="C637" s="219"/>
      <c r="D637" s="44"/>
      <c r="E637" s="31"/>
      <c r="F637" s="82"/>
      <c r="G637" s="83"/>
      <c r="I637" s="137"/>
      <c r="J637" s="109"/>
    </row>
    <row r="638" spans="1:10" x14ac:dyDescent="0.2">
      <c r="A638" s="50"/>
      <c r="B638" s="218"/>
      <c r="C638" s="219"/>
      <c r="D638" s="44"/>
      <c r="E638" s="31"/>
      <c r="F638" s="82"/>
      <c r="G638" s="83"/>
      <c r="I638" s="137"/>
      <c r="J638" s="109"/>
    </row>
    <row r="639" spans="1:10" x14ac:dyDescent="0.2">
      <c r="A639" s="50"/>
      <c r="B639" s="218"/>
      <c r="C639" s="219"/>
      <c r="D639" s="44"/>
      <c r="E639" s="31"/>
      <c r="F639" s="82"/>
      <c r="G639" s="83"/>
      <c r="I639" s="137"/>
      <c r="J639" s="109"/>
    </row>
    <row r="640" spans="1:10" x14ac:dyDescent="0.2">
      <c r="A640" s="50"/>
      <c r="B640" s="218"/>
      <c r="C640" s="219"/>
      <c r="D640" s="44"/>
      <c r="E640" s="31"/>
      <c r="F640" s="82"/>
      <c r="G640" s="83"/>
      <c r="I640" s="137"/>
      <c r="J640" s="109"/>
    </row>
    <row r="641" spans="1:10" x14ac:dyDescent="0.2">
      <c r="A641" s="50"/>
      <c r="B641" s="218"/>
      <c r="C641" s="219"/>
      <c r="D641" s="44"/>
      <c r="E641" s="31"/>
      <c r="F641" s="82"/>
      <c r="G641" s="83"/>
      <c r="I641" s="137"/>
      <c r="J641" s="109"/>
    </row>
    <row r="642" spans="1:10" x14ac:dyDescent="0.2">
      <c r="A642" s="50"/>
      <c r="B642" s="218"/>
      <c r="C642" s="219"/>
      <c r="D642" s="44"/>
      <c r="E642" s="31"/>
      <c r="F642" s="82"/>
      <c r="G642" s="83"/>
      <c r="I642" s="137"/>
      <c r="J642" s="109"/>
    </row>
    <row r="643" spans="1:10" x14ac:dyDescent="0.2">
      <c r="A643" s="50"/>
      <c r="B643" s="218"/>
      <c r="C643" s="219"/>
      <c r="D643" s="44"/>
      <c r="E643" s="31"/>
      <c r="F643" s="82"/>
      <c r="G643" s="83"/>
      <c r="I643" s="137"/>
      <c r="J643" s="109"/>
    </row>
    <row r="644" spans="1:10" x14ac:dyDescent="0.2">
      <c r="A644" s="50"/>
      <c r="B644" s="218"/>
      <c r="C644" s="219"/>
      <c r="D644" s="44"/>
      <c r="E644" s="31"/>
      <c r="F644" s="82"/>
      <c r="G644" s="83"/>
      <c r="I644" s="137"/>
      <c r="J644" s="109"/>
    </row>
    <row r="645" spans="1:10" x14ac:dyDescent="0.2">
      <c r="A645" s="50"/>
      <c r="B645" s="218"/>
      <c r="C645" s="219"/>
      <c r="D645" s="44"/>
      <c r="E645" s="31"/>
      <c r="F645" s="82"/>
      <c r="G645" s="83"/>
      <c r="I645" s="137"/>
      <c r="J645" s="109"/>
    </row>
    <row r="646" spans="1:10" x14ac:dyDescent="0.2">
      <c r="A646" s="50"/>
      <c r="B646" s="218"/>
      <c r="C646" s="219"/>
      <c r="D646" s="44"/>
      <c r="E646" s="31"/>
      <c r="F646" s="82"/>
      <c r="G646" s="83"/>
      <c r="I646" s="137"/>
      <c r="J646" s="109"/>
    </row>
    <row r="647" spans="1:10" x14ac:dyDescent="0.2">
      <c r="A647" s="50"/>
      <c r="B647" s="218"/>
      <c r="C647" s="219"/>
      <c r="D647" s="44"/>
      <c r="E647" s="31"/>
      <c r="F647" s="82"/>
      <c r="G647" s="83"/>
      <c r="I647" s="137"/>
      <c r="J647" s="109"/>
    </row>
    <row r="648" spans="1:10" x14ac:dyDescent="0.2">
      <c r="A648" s="50"/>
      <c r="B648" s="218"/>
      <c r="C648" s="219"/>
      <c r="D648" s="44"/>
      <c r="E648" s="31"/>
      <c r="F648" s="82"/>
      <c r="G648" s="83"/>
      <c r="I648" s="137"/>
      <c r="J648" s="109"/>
    </row>
    <row r="649" spans="1:10" x14ac:dyDescent="0.2">
      <c r="A649" s="50"/>
      <c r="B649" s="218"/>
      <c r="C649" s="219"/>
      <c r="D649" s="44"/>
      <c r="E649" s="31"/>
      <c r="F649" s="82"/>
      <c r="G649" s="83"/>
      <c r="I649" s="137"/>
      <c r="J649" s="109"/>
    </row>
    <row r="650" spans="1:10" x14ac:dyDescent="0.2">
      <c r="A650" s="50"/>
      <c r="B650" s="218"/>
      <c r="C650" s="219"/>
      <c r="D650" s="44"/>
      <c r="E650" s="31"/>
      <c r="F650" s="82"/>
      <c r="G650" s="83"/>
      <c r="I650" s="137"/>
      <c r="J650" s="109"/>
    </row>
    <row r="651" spans="1:10" x14ac:dyDescent="0.2">
      <c r="A651" s="50"/>
      <c r="B651" s="218"/>
      <c r="C651" s="219"/>
      <c r="D651" s="44"/>
      <c r="E651" s="31"/>
      <c r="F651" s="82"/>
      <c r="G651" s="83"/>
      <c r="I651" s="137"/>
      <c r="J651" s="109"/>
    </row>
    <row r="652" spans="1:10" x14ac:dyDescent="0.2">
      <c r="A652" s="50"/>
      <c r="B652" s="218"/>
      <c r="C652" s="219"/>
      <c r="D652" s="44"/>
      <c r="E652" s="31"/>
      <c r="F652" s="82"/>
      <c r="G652" s="83"/>
      <c r="I652" s="137"/>
      <c r="J652" s="109"/>
    </row>
    <row r="653" spans="1:10" x14ac:dyDescent="0.2">
      <c r="A653" s="50"/>
      <c r="B653" s="218"/>
      <c r="C653" s="219"/>
      <c r="D653" s="44"/>
      <c r="E653" s="31"/>
      <c r="F653" s="82"/>
      <c r="G653" s="83"/>
      <c r="I653" s="137"/>
      <c r="J653" s="109"/>
    </row>
    <row r="654" spans="1:10" x14ac:dyDescent="0.2">
      <c r="A654" s="50"/>
      <c r="B654" s="218"/>
      <c r="C654" s="219"/>
      <c r="D654" s="44"/>
      <c r="E654" s="31"/>
      <c r="F654" s="82"/>
      <c r="G654" s="83"/>
      <c r="I654" s="137"/>
      <c r="J654" s="109"/>
    </row>
    <row r="655" spans="1:10" ht="12.75" thickBot="1" x14ac:dyDescent="0.25">
      <c r="A655" s="50"/>
      <c r="B655" s="218"/>
      <c r="C655" s="219"/>
      <c r="D655" s="44"/>
      <c r="E655" s="31"/>
      <c r="F655" s="82"/>
      <c r="G655" s="83"/>
      <c r="I655" s="137"/>
      <c r="J655" s="109"/>
    </row>
    <row r="656" spans="1:10" x14ac:dyDescent="0.2">
      <c r="A656" s="222"/>
      <c r="B656" s="56" t="s">
        <v>176</v>
      </c>
      <c r="C656" s="223"/>
      <c r="D656" s="224"/>
      <c r="E656" s="59"/>
      <c r="F656" s="159"/>
      <c r="G656" s="160"/>
    </row>
    <row r="657" spans="1:11" ht="12.75" thickBot="1" x14ac:dyDescent="0.25">
      <c r="A657" s="225"/>
      <c r="B657" s="61" t="s">
        <v>177</v>
      </c>
      <c r="C657" s="226"/>
      <c r="D657" s="227"/>
      <c r="E657" s="64"/>
      <c r="F657" s="125"/>
      <c r="G657" s="161">
        <f>SUM(G571:G656)</f>
        <v>0</v>
      </c>
    </row>
    <row r="658" spans="1:11" x14ac:dyDescent="0.2">
      <c r="A658" s="162"/>
      <c r="B658" s="67"/>
      <c r="C658" s="29"/>
      <c r="D658" s="30"/>
      <c r="E658" s="31"/>
      <c r="F658" s="46"/>
      <c r="G658" s="120"/>
    </row>
    <row r="659" spans="1:11" x14ac:dyDescent="0.2">
      <c r="A659" s="27"/>
      <c r="B659" s="28" t="s">
        <v>178</v>
      </c>
      <c r="C659" s="43"/>
      <c r="D659" s="44"/>
      <c r="E659" s="31"/>
      <c r="F659" s="46"/>
      <c r="G659" s="47"/>
    </row>
    <row r="660" spans="1:11" x14ac:dyDescent="0.2">
      <c r="A660" s="27"/>
      <c r="B660" s="36" t="s">
        <v>152</v>
      </c>
      <c r="C660" s="43"/>
      <c r="D660" s="44"/>
      <c r="E660" s="31"/>
      <c r="F660" s="46"/>
      <c r="G660" s="47"/>
    </row>
    <row r="661" spans="1:11" x14ac:dyDescent="0.2">
      <c r="A661" s="162" t="s">
        <v>101</v>
      </c>
      <c r="B661" s="80" t="s">
        <v>40</v>
      </c>
      <c r="C661" s="43"/>
      <c r="D661" s="44"/>
      <c r="E661" s="31"/>
      <c r="F661" s="46"/>
      <c r="G661" s="47"/>
    </row>
    <row r="662" spans="1:11" ht="62.25" customHeight="1" x14ac:dyDescent="0.2">
      <c r="A662" s="162"/>
      <c r="B662" s="228" t="s">
        <v>231</v>
      </c>
      <c r="C662" s="229"/>
      <c r="D662" s="229"/>
      <c r="E662" s="229"/>
      <c r="F662" s="229"/>
      <c r="G662" s="230"/>
    </row>
    <row r="663" spans="1:11" ht="42.75" customHeight="1" x14ac:dyDescent="0.2">
      <c r="A663" s="162"/>
      <c r="B663" s="231" t="s">
        <v>107</v>
      </c>
      <c r="C663" s="231"/>
      <c r="D663" s="231"/>
      <c r="E663" s="231"/>
      <c r="F663" s="231"/>
      <c r="G663" s="232"/>
      <c r="I663" s="109"/>
    </row>
    <row r="664" spans="1:11" ht="36.75" customHeight="1" x14ac:dyDescent="0.2">
      <c r="A664" s="27"/>
      <c r="B664" s="233" t="s">
        <v>218</v>
      </c>
      <c r="C664" s="233"/>
      <c r="D664" s="233"/>
      <c r="E664" s="233"/>
      <c r="F664" s="233"/>
      <c r="G664" s="234"/>
    </row>
    <row r="665" spans="1:11" x14ac:dyDescent="0.2">
      <c r="A665" s="97" t="s">
        <v>157</v>
      </c>
      <c r="B665" s="235" t="s">
        <v>82</v>
      </c>
      <c r="C665" s="101"/>
      <c r="D665" s="99"/>
      <c r="E665" s="100"/>
      <c r="F665" s="99"/>
      <c r="G665" s="170"/>
    </row>
    <row r="666" spans="1:11" x14ac:dyDescent="0.2">
      <c r="A666" s="207" t="s">
        <v>140</v>
      </c>
      <c r="B666" s="208" t="s">
        <v>271</v>
      </c>
      <c r="C666" s="236"/>
      <c r="D666" s="237"/>
      <c r="E666" s="238"/>
      <c r="F666" s="135"/>
      <c r="G666" s="136"/>
    </row>
    <row r="667" spans="1:11" ht="13.5" x14ac:dyDescent="0.2">
      <c r="A667" s="162"/>
      <c r="B667" s="239" t="s">
        <v>471</v>
      </c>
      <c r="C667" s="68" t="s">
        <v>335</v>
      </c>
      <c r="D667" s="44">
        <v>618.15</v>
      </c>
      <c r="E667" s="31"/>
      <c r="F667" s="46"/>
      <c r="G667" s="47"/>
      <c r="I667" s="137">
        <f>D433+D434+D426+D435</f>
        <v>618.11999999999989</v>
      </c>
    </row>
    <row r="668" spans="1:11" x14ac:dyDescent="0.2">
      <c r="A668" s="207" t="s">
        <v>141</v>
      </c>
      <c r="B668" s="208" t="s">
        <v>272</v>
      </c>
      <c r="C668" s="236"/>
      <c r="D668" s="237"/>
      <c r="E668" s="238"/>
      <c r="F668" s="135"/>
      <c r="G668" s="136"/>
      <c r="I668" s="137"/>
    </row>
    <row r="669" spans="1:11" ht="15" customHeight="1" x14ac:dyDescent="0.2">
      <c r="A669" s="162"/>
      <c r="B669" s="239" t="s">
        <v>383</v>
      </c>
      <c r="C669" s="68" t="s">
        <v>335</v>
      </c>
      <c r="D669" s="44">
        <v>8.02</v>
      </c>
      <c r="E669" s="31"/>
      <c r="F669" s="46"/>
      <c r="G669" s="47">
        <f>(D669*E669)+(D669*F669)</f>
        <v>0</v>
      </c>
      <c r="I669" s="137"/>
    </row>
    <row r="670" spans="1:11" ht="13.5" x14ac:dyDescent="0.2">
      <c r="A670" s="162"/>
      <c r="B670" s="239" t="s">
        <v>512</v>
      </c>
      <c r="C670" s="68" t="s">
        <v>335</v>
      </c>
      <c r="D670" s="44">
        <v>66.8</v>
      </c>
      <c r="E670" s="31"/>
      <c r="F670" s="46"/>
      <c r="G670" s="47">
        <f t="shared" ref="G670" si="129">(D670*E670)+(D670*F670)</f>
        <v>0</v>
      </c>
      <c r="I670" s="137">
        <f>31.35*1.925</f>
        <v>60.348750000000003</v>
      </c>
      <c r="J670" s="19">
        <v>6.45</v>
      </c>
      <c r="K670" s="137">
        <f>SUM(I670:J670)</f>
        <v>66.798749999999998</v>
      </c>
    </row>
    <row r="671" spans="1:11" x14ac:dyDescent="0.2">
      <c r="A671" s="207" t="s">
        <v>51</v>
      </c>
      <c r="B671" s="208" t="s">
        <v>484</v>
      </c>
      <c r="C671" s="236"/>
      <c r="D671" s="237"/>
      <c r="E671" s="238"/>
      <c r="F671" s="135"/>
      <c r="G671" s="136"/>
    </row>
    <row r="672" spans="1:11" ht="13.5" x14ac:dyDescent="0.2">
      <c r="A672" s="162"/>
      <c r="B672" s="239" t="s">
        <v>514</v>
      </c>
      <c r="C672" s="68" t="s">
        <v>335</v>
      </c>
      <c r="D672" s="44">
        <v>17.25</v>
      </c>
      <c r="E672" s="31"/>
      <c r="F672" s="46"/>
      <c r="G672" s="47">
        <f t="shared" ref="G672" si="130">(D672*E672)+(D672*F672)</f>
        <v>0</v>
      </c>
      <c r="I672" s="19">
        <f>31.35*0.55</f>
        <v>17.242500000000003</v>
      </c>
    </row>
    <row r="673" spans="1:10" ht="13.5" x14ac:dyDescent="0.2">
      <c r="A673" s="162"/>
      <c r="B673" s="239" t="s">
        <v>485</v>
      </c>
      <c r="C673" s="68" t="s">
        <v>335</v>
      </c>
      <c r="D673" s="44">
        <v>111.7</v>
      </c>
      <c r="E673" s="31"/>
      <c r="F673" s="46"/>
      <c r="G673" s="47">
        <f t="shared" ref="G673" si="131">(D673*E673)+(D673*F673)</f>
        <v>0</v>
      </c>
      <c r="I673" s="19">
        <f>30.1*2+10.7*2+17*2+10.3*2</f>
        <v>136.19999999999999</v>
      </c>
      <c r="J673" s="19">
        <f>I673*0.82</f>
        <v>111.68399999999998</v>
      </c>
    </row>
    <row r="674" spans="1:10" x14ac:dyDescent="0.2">
      <c r="A674" s="97" t="s">
        <v>280</v>
      </c>
      <c r="B674" s="235" t="s">
        <v>281</v>
      </c>
      <c r="C674" s="101"/>
      <c r="D674" s="99"/>
      <c r="E674" s="100"/>
      <c r="F674" s="99"/>
      <c r="G674" s="170"/>
    </row>
    <row r="675" spans="1:10" x14ac:dyDescent="0.2">
      <c r="A675" s="173" t="s">
        <v>501</v>
      </c>
      <c r="B675" s="299" t="s">
        <v>503</v>
      </c>
      <c r="C675" s="346"/>
      <c r="D675" s="44"/>
      <c r="E675" s="176"/>
      <c r="F675" s="44"/>
      <c r="G675" s="347"/>
    </row>
    <row r="676" spans="1:10" ht="36" x14ac:dyDescent="0.2">
      <c r="A676" s="27" t="s">
        <v>153</v>
      </c>
      <c r="B676" s="239" t="s">
        <v>502</v>
      </c>
      <c r="C676" s="68" t="s">
        <v>14</v>
      </c>
      <c r="D676" s="44">
        <v>1</v>
      </c>
      <c r="E676" s="31"/>
      <c r="F676" s="46"/>
      <c r="G676" s="47">
        <f>(D676*E676)+(D676*F676)</f>
        <v>0</v>
      </c>
      <c r="I676" s="109">
        <f>I667+3.9*2.6+111.7</f>
        <v>739.95999999999992</v>
      </c>
    </row>
    <row r="677" spans="1:10" x14ac:dyDescent="0.2">
      <c r="A677" s="162" t="s">
        <v>500</v>
      </c>
      <c r="B677" s="345" t="s">
        <v>239</v>
      </c>
      <c r="C677" s="68"/>
      <c r="D677" s="44"/>
      <c r="E677" s="31"/>
      <c r="F677" s="46"/>
      <c r="G677" s="47"/>
    </row>
    <row r="678" spans="1:10" ht="36" x14ac:dyDescent="0.2">
      <c r="A678" s="27" t="s">
        <v>153</v>
      </c>
      <c r="B678" s="239" t="s">
        <v>282</v>
      </c>
      <c r="C678" s="68" t="s">
        <v>278</v>
      </c>
      <c r="D678" s="44">
        <f>D764</f>
        <v>156</v>
      </c>
      <c r="E678" s="31"/>
      <c r="F678" s="46"/>
      <c r="G678" s="47">
        <f>(D678*E678)+(D678*F678)</f>
        <v>0</v>
      </c>
    </row>
    <row r="679" spans="1:10" x14ac:dyDescent="0.2">
      <c r="A679" s="97" t="s">
        <v>505</v>
      </c>
      <c r="B679" s="235" t="s">
        <v>506</v>
      </c>
      <c r="C679" s="101"/>
      <c r="D679" s="99"/>
      <c r="E679" s="100"/>
      <c r="F679" s="99"/>
      <c r="G679" s="170"/>
    </row>
    <row r="680" spans="1:10" x14ac:dyDescent="0.2">
      <c r="A680" s="162"/>
      <c r="B680" s="348" t="s">
        <v>58</v>
      </c>
      <c r="C680" s="68"/>
      <c r="D680" s="44"/>
      <c r="E680" s="31"/>
      <c r="F680" s="46"/>
      <c r="G680" s="47">
        <f t="shared" ref="G680:G686" si="132">(D680*E680)+(D680*F680)</f>
        <v>0</v>
      </c>
    </row>
    <row r="681" spans="1:10" x14ac:dyDescent="0.2">
      <c r="A681" s="162"/>
      <c r="B681" s="239" t="s">
        <v>507</v>
      </c>
      <c r="C681" s="68" t="s">
        <v>115</v>
      </c>
      <c r="D681" s="44">
        <v>110</v>
      </c>
      <c r="E681" s="31"/>
      <c r="F681" s="46"/>
      <c r="G681" s="47">
        <f t="shared" si="132"/>
        <v>0</v>
      </c>
      <c r="I681" s="19">
        <f>36*2.9</f>
        <v>104.39999999999999</v>
      </c>
      <c r="J681" s="19">
        <f>I681*105%</f>
        <v>109.61999999999999</v>
      </c>
    </row>
    <row r="682" spans="1:10" x14ac:dyDescent="0.2">
      <c r="A682" s="162"/>
      <c r="B682" s="239" t="s">
        <v>511</v>
      </c>
      <c r="C682" s="68" t="s">
        <v>115</v>
      </c>
      <c r="D682" s="44">
        <v>31.5</v>
      </c>
      <c r="E682" s="31"/>
      <c r="F682" s="46"/>
      <c r="G682" s="47">
        <f t="shared" ref="G682" si="133">(D682*E682)+(D682*F682)</f>
        <v>0</v>
      </c>
    </row>
    <row r="683" spans="1:10" x14ac:dyDescent="0.2">
      <c r="A683" s="162"/>
      <c r="B683" s="239" t="s">
        <v>510</v>
      </c>
      <c r="C683" s="68" t="s">
        <v>115</v>
      </c>
      <c r="D683" s="44">
        <v>31.5</v>
      </c>
      <c r="E683" s="31"/>
      <c r="F683" s="46"/>
      <c r="G683" s="47">
        <f t="shared" si="132"/>
        <v>0</v>
      </c>
    </row>
    <row r="684" spans="1:10" x14ac:dyDescent="0.2">
      <c r="A684" s="162"/>
      <c r="B684" s="239" t="s">
        <v>508</v>
      </c>
      <c r="C684" s="68" t="s">
        <v>115</v>
      </c>
      <c r="D684" s="44">
        <v>190</v>
      </c>
      <c r="E684" s="31"/>
      <c r="F684" s="46"/>
      <c r="G684" s="47">
        <f t="shared" si="132"/>
        <v>0</v>
      </c>
    </row>
    <row r="685" spans="1:10" x14ac:dyDescent="0.2">
      <c r="A685" s="162"/>
      <c r="B685" s="239" t="s">
        <v>509</v>
      </c>
      <c r="C685" s="68" t="s">
        <v>115</v>
      </c>
      <c r="D685" s="44">
        <v>31.5</v>
      </c>
      <c r="E685" s="31"/>
      <c r="F685" s="46"/>
      <c r="G685" s="47">
        <f t="shared" si="132"/>
        <v>0</v>
      </c>
    </row>
    <row r="686" spans="1:10" ht="13.5" x14ac:dyDescent="0.2">
      <c r="A686" s="162"/>
      <c r="B686" s="239" t="s">
        <v>513</v>
      </c>
      <c r="C686" s="68" t="s">
        <v>335</v>
      </c>
      <c r="D686" s="44"/>
      <c r="E686" s="31"/>
      <c r="F686" s="46"/>
      <c r="G686" s="47">
        <f t="shared" si="132"/>
        <v>0</v>
      </c>
    </row>
    <row r="687" spans="1:10" x14ac:dyDescent="0.2">
      <c r="A687" s="162"/>
      <c r="B687" s="239"/>
      <c r="C687" s="68"/>
      <c r="D687" s="44"/>
      <c r="E687" s="31"/>
      <c r="F687" s="46"/>
      <c r="G687" s="47"/>
    </row>
    <row r="688" spans="1:10" x14ac:dyDescent="0.2">
      <c r="A688" s="162"/>
      <c r="B688" s="239"/>
      <c r="C688" s="68"/>
      <c r="D688" s="44"/>
      <c r="E688" s="31"/>
      <c r="F688" s="46"/>
      <c r="G688" s="47"/>
    </row>
    <row r="689" spans="1:7" x14ac:dyDescent="0.2">
      <c r="A689" s="162"/>
      <c r="B689" s="239"/>
      <c r="C689" s="68"/>
      <c r="D689" s="44"/>
      <c r="E689" s="31"/>
      <c r="F689" s="46"/>
      <c r="G689" s="47"/>
    </row>
    <row r="690" spans="1:7" x14ac:dyDescent="0.2">
      <c r="A690" s="162"/>
      <c r="B690" s="239"/>
      <c r="C690" s="68"/>
      <c r="D690" s="44"/>
      <c r="E690" s="31"/>
      <c r="F690" s="46"/>
      <c r="G690" s="47"/>
    </row>
    <row r="691" spans="1:7" x14ac:dyDescent="0.2">
      <c r="A691" s="162"/>
      <c r="B691" s="239"/>
      <c r="C691" s="68"/>
      <c r="D691" s="44"/>
      <c r="E691" s="31"/>
      <c r="F691" s="46"/>
      <c r="G691" s="47"/>
    </row>
    <row r="692" spans="1:7" x14ac:dyDescent="0.2">
      <c r="A692" s="162"/>
      <c r="B692" s="239"/>
      <c r="C692" s="68"/>
      <c r="D692" s="44"/>
      <c r="E692" s="31"/>
      <c r="F692" s="46"/>
      <c r="G692" s="47"/>
    </row>
    <row r="693" spans="1:7" x14ac:dyDescent="0.2">
      <c r="A693" s="162"/>
      <c r="B693" s="239"/>
      <c r="C693" s="68"/>
      <c r="D693" s="44"/>
      <c r="E693" s="31"/>
      <c r="F693" s="46"/>
      <c r="G693" s="47"/>
    </row>
    <row r="694" spans="1:7" x14ac:dyDescent="0.2">
      <c r="A694" s="162"/>
      <c r="B694" s="239"/>
      <c r="C694" s="68"/>
      <c r="D694" s="44"/>
      <c r="E694" s="31"/>
      <c r="F694" s="46"/>
      <c r="G694" s="47"/>
    </row>
    <row r="695" spans="1:7" x14ac:dyDescent="0.2">
      <c r="A695" s="162"/>
      <c r="B695" s="239"/>
      <c r="C695" s="68"/>
      <c r="D695" s="44"/>
      <c r="E695" s="31"/>
      <c r="F695" s="46"/>
      <c r="G695" s="47"/>
    </row>
    <row r="696" spans="1:7" x14ac:dyDescent="0.2">
      <c r="A696" s="162"/>
      <c r="B696" s="239"/>
      <c r="C696" s="68"/>
      <c r="D696" s="44"/>
      <c r="E696" s="31"/>
      <c r="F696" s="46"/>
      <c r="G696" s="47"/>
    </row>
    <row r="697" spans="1:7" x14ac:dyDescent="0.2">
      <c r="A697" s="162"/>
      <c r="B697" s="239"/>
      <c r="C697" s="68"/>
      <c r="D697" s="44"/>
      <c r="E697" s="31"/>
      <c r="F697" s="46"/>
      <c r="G697" s="47"/>
    </row>
    <row r="698" spans="1:7" x14ac:dyDescent="0.2">
      <c r="A698" s="162"/>
      <c r="B698" s="239"/>
      <c r="C698" s="68"/>
      <c r="D698" s="44"/>
      <c r="E698" s="31"/>
      <c r="F698" s="46"/>
      <c r="G698" s="47"/>
    </row>
    <row r="699" spans="1:7" x14ac:dyDescent="0.2">
      <c r="A699" s="162"/>
      <c r="B699" s="239"/>
      <c r="C699" s="68"/>
      <c r="D699" s="44"/>
      <c r="E699" s="31"/>
      <c r="F699" s="46"/>
      <c r="G699" s="47"/>
    </row>
    <row r="700" spans="1:7" ht="12.75" thickBot="1" x14ac:dyDescent="0.25">
      <c r="A700" s="162"/>
      <c r="B700" s="239"/>
      <c r="C700" s="68"/>
      <c r="D700" s="44"/>
      <c r="E700" s="31"/>
      <c r="F700" s="46"/>
      <c r="G700" s="47"/>
    </row>
    <row r="701" spans="1:7" x14ac:dyDescent="0.2">
      <c r="A701" s="55"/>
      <c r="B701" s="56" t="s">
        <v>179</v>
      </c>
      <c r="C701" s="92"/>
      <c r="D701" s="58"/>
      <c r="E701" s="59"/>
      <c r="F701" s="159"/>
      <c r="G701" s="160"/>
    </row>
    <row r="702" spans="1:7" ht="12.75" thickBot="1" x14ac:dyDescent="0.25">
      <c r="A702" s="60"/>
      <c r="B702" s="61" t="s">
        <v>104</v>
      </c>
      <c r="C702" s="93"/>
      <c r="D702" s="63"/>
      <c r="E702" s="64"/>
      <c r="F702" s="125"/>
      <c r="G702" s="161">
        <f>SUM(G667:G676)</f>
        <v>0</v>
      </c>
    </row>
    <row r="703" spans="1:7" x14ac:dyDescent="0.2">
      <c r="A703" s="27"/>
      <c r="B703" s="67"/>
      <c r="C703" s="43"/>
      <c r="D703" s="44"/>
      <c r="E703" s="31"/>
      <c r="F703" s="46"/>
      <c r="G703" s="120"/>
    </row>
    <row r="704" spans="1:7" x14ac:dyDescent="0.2">
      <c r="A704" s="27"/>
      <c r="B704" s="28" t="s">
        <v>105</v>
      </c>
      <c r="C704" s="43"/>
      <c r="D704" s="44"/>
      <c r="E704" s="31"/>
      <c r="F704" s="46"/>
      <c r="G704" s="47"/>
    </row>
    <row r="705" spans="1:11" x14ac:dyDescent="0.2">
      <c r="A705" s="27"/>
      <c r="B705" s="36" t="s">
        <v>84</v>
      </c>
      <c r="C705" s="43"/>
      <c r="D705" s="44"/>
      <c r="E705" s="31"/>
      <c r="F705" s="46"/>
      <c r="G705" s="47"/>
    </row>
    <row r="706" spans="1:11" x14ac:dyDescent="0.2">
      <c r="A706" s="162" t="s">
        <v>106</v>
      </c>
      <c r="B706" s="80" t="s">
        <v>40</v>
      </c>
      <c r="C706" s="43" t="s">
        <v>53</v>
      </c>
      <c r="D706" s="44"/>
      <c r="E706" s="31"/>
      <c r="F706" s="46"/>
      <c r="G706" s="47"/>
      <c r="I706" s="240"/>
      <c r="J706" s="241">
        <v>80.599999999999994</v>
      </c>
      <c r="K706" s="241"/>
    </row>
    <row r="707" spans="1:11" s="243" customFormat="1" ht="51" customHeight="1" x14ac:dyDescent="0.2">
      <c r="A707" s="50"/>
      <c r="B707" s="388" t="s">
        <v>247</v>
      </c>
      <c r="C707" s="389"/>
      <c r="D707" s="389"/>
      <c r="E707" s="390"/>
      <c r="F707" s="88"/>
      <c r="G707" s="242"/>
      <c r="I707" s="240"/>
      <c r="J707" s="244"/>
      <c r="K707" s="241"/>
    </row>
    <row r="708" spans="1:11" s="243" customFormat="1" ht="17.25" customHeight="1" x14ac:dyDescent="0.2">
      <c r="A708" s="50"/>
      <c r="B708" s="375" t="s">
        <v>330</v>
      </c>
      <c r="C708" s="376"/>
      <c r="D708" s="376"/>
      <c r="E708" s="377"/>
      <c r="F708" s="88"/>
      <c r="G708" s="242"/>
      <c r="I708" s="240"/>
      <c r="J708" s="241">
        <v>168.85</v>
      </c>
      <c r="K708" s="241"/>
    </row>
    <row r="709" spans="1:11" s="243" customFormat="1" ht="40.5" customHeight="1" x14ac:dyDescent="0.2">
      <c r="A709" s="50"/>
      <c r="B709" s="375" t="s">
        <v>343</v>
      </c>
      <c r="C709" s="376"/>
      <c r="D709" s="376"/>
      <c r="E709" s="377"/>
      <c r="F709" s="88"/>
      <c r="G709" s="242"/>
      <c r="I709" s="240"/>
      <c r="J709" s="244"/>
      <c r="K709" s="241"/>
    </row>
    <row r="710" spans="1:11" s="243" customFormat="1" ht="52.5" customHeight="1" x14ac:dyDescent="0.2">
      <c r="A710" s="50"/>
      <c r="B710" s="375" t="s">
        <v>344</v>
      </c>
      <c r="C710" s="376"/>
      <c r="D710" s="376"/>
      <c r="E710" s="377"/>
      <c r="F710" s="88"/>
      <c r="G710" s="242"/>
      <c r="I710" s="245"/>
      <c r="J710" s="241">
        <v>139</v>
      </c>
      <c r="K710" s="246"/>
    </row>
    <row r="711" spans="1:11" x14ac:dyDescent="0.2">
      <c r="A711" s="207" t="s">
        <v>140</v>
      </c>
      <c r="B711" s="208" t="s">
        <v>56</v>
      </c>
      <c r="C711" s="209"/>
      <c r="D711" s="210"/>
      <c r="E711" s="189"/>
      <c r="F711" s="135"/>
      <c r="G711" s="136"/>
      <c r="I711" s="241"/>
      <c r="J711" s="246"/>
      <c r="K711" s="241"/>
    </row>
    <row r="712" spans="1:11" ht="36" x14ac:dyDescent="0.2">
      <c r="A712" s="27"/>
      <c r="B712" s="247" t="s">
        <v>345</v>
      </c>
      <c r="C712" s="248" t="s">
        <v>335</v>
      </c>
      <c r="D712" s="77">
        <v>595.4</v>
      </c>
      <c r="E712" s="31"/>
      <c r="F712" s="46"/>
      <c r="G712" s="47">
        <f t="shared" ref="G712:G714" si="134">(D712*E712)+(D712*F712)</f>
        <v>0</v>
      </c>
      <c r="I712" s="241"/>
      <c r="J712" s="244"/>
      <c r="K712" s="241"/>
    </row>
    <row r="713" spans="1:11" ht="24.75" customHeight="1" x14ac:dyDescent="0.2">
      <c r="A713" s="27"/>
      <c r="B713" s="247" t="s">
        <v>346</v>
      </c>
      <c r="C713" s="248" t="s">
        <v>335</v>
      </c>
      <c r="D713" s="77">
        <v>809.2</v>
      </c>
      <c r="E713" s="31"/>
      <c r="F713" s="46"/>
      <c r="G713" s="47">
        <f t="shared" si="134"/>
        <v>0</v>
      </c>
      <c r="I713" s="241"/>
      <c r="J713" s="241">
        <v>143.19999999999999</v>
      </c>
      <c r="K713" s="241"/>
    </row>
    <row r="714" spans="1:11" ht="28.5" customHeight="1" x14ac:dyDescent="0.2">
      <c r="A714" s="27"/>
      <c r="B714" s="247" t="s">
        <v>384</v>
      </c>
      <c r="C714" s="248" t="s">
        <v>335</v>
      </c>
      <c r="D714" s="77">
        <v>702.35</v>
      </c>
      <c r="E714" s="31"/>
      <c r="F714" s="46"/>
      <c r="G714" s="47">
        <f t="shared" si="134"/>
        <v>0</v>
      </c>
      <c r="I714" s="241">
        <f>51.46*4+8.5*3*2+32.2*2</f>
        <v>321.24</v>
      </c>
      <c r="J714" s="244"/>
      <c r="K714" s="241"/>
    </row>
    <row r="715" spans="1:11" x14ac:dyDescent="0.2">
      <c r="A715" s="27"/>
      <c r="B715" s="247"/>
      <c r="C715" s="248"/>
      <c r="D715" s="44"/>
      <c r="E715" s="31"/>
      <c r="F715" s="46"/>
      <c r="G715" s="47"/>
      <c r="I715" s="246"/>
      <c r="J715" s="241"/>
      <c r="K715" s="241"/>
    </row>
    <row r="716" spans="1:11" x14ac:dyDescent="0.2">
      <c r="A716" s="207" t="s">
        <v>141</v>
      </c>
      <c r="B716" s="208" t="s">
        <v>58</v>
      </c>
      <c r="C716" s="209"/>
      <c r="D716" s="210"/>
      <c r="E716" s="189"/>
      <c r="F716" s="135"/>
      <c r="G716" s="136"/>
      <c r="I716" s="241"/>
      <c r="J716" s="246"/>
      <c r="K716" s="241"/>
    </row>
    <row r="717" spans="1:11" ht="36" x14ac:dyDescent="0.2">
      <c r="A717" s="27"/>
      <c r="B717" s="247" t="s">
        <v>345</v>
      </c>
      <c r="C717" s="248" t="s">
        <v>335</v>
      </c>
      <c r="D717" s="77">
        <v>472</v>
      </c>
      <c r="E717" s="31"/>
      <c r="F717" s="46"/>
      <c r="G717" s="47">
        <f t="shared" ref="G717:G719" si="135">(D717*E717)+(D717*F717)</f>
        <v>0</v>
      </c>
      <c r="I717" s="241"/>
      <c r="J717" s="244"/>
      <c r="K717" s="241"/>
    </row>
    <row r="718" spans="1:11" ht="26.25" customHeight="1" x14ac:dyDescent="0.2">
      <c r="A718" s="27"/>
      <c r="B718" s="247" t="s">
        <v>346</v>
      </c>
      <c r="C718" s="248" t="s">
        <v>335</v>
      </c>
      <c r="D718" s="77">
        <v>463.7</v>
      </c>
      <c r="E718" s="31"/>
      <c r="F718" s="46"/>
      <c r="G718" s="47">
        <f t="shared" si="135"/>
        <v>0</v>
      </c>
      <c r="I718" s="241"/>
      <c r="J718" s="241">
        <v>143.19999999999999</v>
      </c>
      <c r="K718" s="241"/>
    </row>
    <row r="719" spans="1:11" ht="28.5" customHeight="1" x14ac:dyDescent="0.2">
      <c r="A719" s="27"/>
      <c r="B719" s="247" t="s">
        <v>384</v>
      </c>
      <c r="C719" s="248" t="s">
        <v>335</v>
      </c>
      <c r="D719" s="77">
        <v>266.2</v>
      </c>
      <c r="E719" s="31"/>
      <c r="F719" s="46"/>
      <c r="G719" s="47">
        <f t="shared" si="135"/>
        <v>0</v>
      </c>
      <c r="I719" s="241">
        <f>51.46*4+32.2*2+8.5*3*2</f>
        <v>321.24</v>
      </c>
      <c r="J719" s="244">
        <f>D669</f>
        <v>8.02</v>
      </c>
      <c r="K719" s="241"/>
    </row>
    <row r="720" spans="1:11" ht="40.5" customHeight="1" x14ac:dyDescent="0.2">
      <c r="A720" s="27"/>
      <c r="B720" s="247" t="s">
        <v>482</v>
      </c>
      <c r="C720" s="248" t="s">
        <v>335</v>
      </c>
      <c r="D720" s="77">
        <v>362.25</v>
      </c>
      <c r="E720" s="31"/>
      <c r="F720" s="46"/>
      <c r="G720" s="47">
        <f t="shared" ref="G720" si="136">(D720*E720)+(D720*F720)</f>
        <v>0</v>
      </c>
      <c r="I720" s="249">
        <f>22.05*16.3</f>
        <v>359.41500000000002</v>
      </c>
      <c r="J720" s="244">
        <f>1.15*1.225*2</f>
        <v>2.8174999999999999</v>
      </c>
      <c r="K720" s="249">
        <f>SUM(I720:J720)</f>
        <v>362.23250000000002</v>
      </c>
    </row>
    <row r="721" spans="1:12" x14ac:dyDescent="0.2">
      <c r="A721" s="207" t="s">
        <v>51</v>
      </c>
      <c r="B721" s="208" t="s">
        <v>60</v>
      </c>
      <c r="C721" s="209"/>
      <c r="D721" s="210"/>
      <c r="E721" s="189"/>
      <c r="F721" s="135"/>
      <c r="G721" s="136"/>
      <c r="J721" s="241">
        <v>319.60000000000002</v>
      </c>
    </row>
    <row r="722" spans="1:12" ht="36" x14ac:dyDescent="0.2">
      <c r="A722" s="27"/>
      <c r="B722" s="247" t="s">
        <v>345</v>
      </c>
      <c r="C722" s="248" t="s">
        <v>335</v>
      </c>
      <c r="D722" s="77">
        <v>344.4</v>
      </c>
      <c r="E722" s="31"/>
      <c r="F722" s="46"/>
      <c r="G722" s="47">
        <f t="shared" ref="G722:G725" si="137">(D722*E722)+(D722*F722)</f>
        <v>0</v>
      </c>
      <c r="J722" s="246"/>
    </row>
    <row r="723" spans="1:12" ht="24" x14ac:dyDescent="0.2">
      <c r="A723" s="27"/>
      <c r="B723" s="247" t="s">
        <v>346</v>
      </c>
      <c r="C723" s="248" t="s">
        <v>335</v>
      </c>
      <c r="D723" s="77">
        <v>747.15</v>
      </c>
      <c r="E723" s="31"/>
      <c r="F723" s="46"/>
      <c r="G723" s="47">
        <f t="shared" si="137"/>
        <v>0</v>
      </c>
      <c r="J723" s="244"/>
    </row>
    <row r="724" spans="1:12" ht="24" x14ac:dyDescent="0.2">
      <c r="A724" s="27"/>
      <c r="B724" s="247" t="s">
        <v>384</v>
      </c>
      <c r="C724" s="248" t="s">
        <v>335</v>
      </c>
      <c r="D724" s="77">
        <v>740</v>
      </c>
      <c r="E724" s="31"/>
      <c r="F724" s="46"/>
      <c r="G724" s="47">
        <f t="shared" si="137"/>
        <v>0</v>
      </c>
      <c r="I724" s="241">
        <f>51.46*4+32.2*2+8.5*3*2</f>
        <v>321.24</v>
      </c>
      <c r="J724" s="241">
        <f>I724-I667</f>
        <v>-296.87999999999988</v>
      </c>
      <c r="K724" s="137"/>
      <c r="L724" s="109"/>
    </row>
    <row r="725" spans="1:12" ht="36" x14ac:dyDescent="0.2">
      <c r="A725" s="27"/>
      <c r="B725" s="247" t="s">
        <v>483</v>
      </c>
      <c r="C725" s="248" t="s">
        <v>335</v>
      </c>
      <c r="D725" s="77">
        <v>77.900000000000006</v>
      </c>
      <c r="E725" s="31"/>
      <c r="F725" s="46"/>
      <c r="G725" s="47">
        <f t="shared" si="137"/>
        <v>0</v>
      </c>
      <c r="I725" s="249"/>
      <c r="J725" s="241"/>
      <c r="K725" s="137"/>
      <c r="L725" s="109"/>
    </row>
    <row r="726" spans="1:12" x14ac:dyDescent="0.2">
      <c r="A726" s="207" t="s">
        <v>142</v>
      </c>
      <c r="B726" s="208" t="s">
        <v>239</v>
      </c>
      <c r="C726" s="209"/>
      <c r="D726" s="210"/>
      <c r="E726" s="189"/>
      <c r="F726" s="135"/>
      <c r="G726" s="136"/>
      <c r="J726" s="241"/>
    </row>
    <row r="727" spans="1:12" ht="36" x14ac:dyDescent="0.2">
      <c r="A727" s="27"/>
      <c r="B727" s="247" t="s">
        <v>345</v>
      </c>
      <c r="C727" s="248" t="s">
        <v>335</v>
      </c>
      <c r="D727" s="44">
        <v>55.2</v>
      </c>
      <c r="E727" s="31"/>
      <c r="F727" s="46"/>
      <c r="G727" s="47">
        <f t="shared" ref="G727" si="138">(D727*E727)+(D727*F727)</f>
        <v>0</v>
      </c>
      <c r="J727" s="241"/>
    </row>
    <row r="728" spans="1:12" x14ac:dyDescent="0.2">
      <c r="A728" s="27"/>
      <c r="B728" s="247"/>
      <c r="C728" s="248"/>
      <c r="D728" s="44"/>
      <c r="E728" s="31"/>
      <c r="F728" s="46"/>
      <c r="G728" s="47"/>
      <c r="J728" s="249"/>
    </row>
    <row r="729" spans="1:12" x14ac:dyDescent="0.2">
      <c r="A729" s="27"/>
      <c r="B729" s="247"/>
      <c r="C729" s="248"/>
      <c r="D729" s="44"/>
      <c r="E729" s="31"/>
      <c r="F729" s="46"/>
      <c r="G729" s="47"/>
      <c r="J729" s="249"/>
    </row>
    <row r="730" spans="1:12" ht="12.75" thickBot="1" x14ac:dyDescent="0.25">
      <c r="A730" s="27"/>
      <c r="B730" s="247"/>
      <c r="C730" s="248"/>
      <c r="D730" s="44"/>
      <c r="E730" s="31"/>
      <c r="F730" s="46"/>
      <c r="G730" s="47"/>
      <c r="J730" s="249"/>
    </row>
    <row r="731" spans="1:12" x14ac:dyDescent="0.2">
      <c r="A731" s="55"/>
      <c r="B731" s="56" t="s">
        <v>180</v>
      </c>
      <c r="C731" s="92"/>
      <c r="D731" s="58"/>
      <c r="E731" s="59"/>
      <c r="F731" s="159"/>
      <c r="G731" s="160"/>
    </row>
    <row r="732" spans="1:12" ht="12.75" thickBot="1" x14ac:dyDescent="0.25">
      <c r="A732" s="60"/>
      <c r="B732" s="61" t="s">
        <v>108</v>
      </c>
      <c r="C732" s="93"/>
      <c r="D732" s="63"/>
      <c r="E732" s="64"/>
      <c r="F732" s="125"/>
      <c r="G732" s="161">
        <f>SUM(G712:G727)</f>
        <v>0</v>
      </c>
    </row>
    <row r="733" spans="1:12" x14ac:dyDescent="0.2">
      <c r="A733" s="27"/>
      <c r="B733" s="28" t="s">
        <v>109</v>
      </c>
      <c r="C733" s="43"/>
      <c r="D733" s="44"/>
      <c r="E733" s="31"/>
      <c r="F733" s="46"/>
      <c r="G733" s="47"/>
    </row>
    <row r="734" spans="1:12" x14ac:dyDescent="0.2">
      <c r="A734" s="27"/>
      <c r="B734" s="36" t="s">
        <v>86</v>
      </c>
      <c r="C734" s="43"/>
      <c r="D734" s="44"/>
      <c r="E734" s="31"/>
      <c r="F734" s="46"/>
      <c r="G734" s="47"/>
    </row>
    <row r="735" spans="1:12" x14ac:dyDescent="0.2">
      <c r="A735" s="162" t="s">
        <v>110</v>
      </c>
      <c r="B735" s="80" t="s">
        <v>40</v>
      </c>
      <c r="C735" s="43"/>
      <c r="D735" s="44"/>
      <c r="E735" s="31"/>
      <c r="F735" s="46"/>
      <c r="G735" s="47"/>
    </row>
    <row r="736" spans="1:12" s="243" customFormat="1" ht="39.75" customHeight="1" x14ac:dyDescent="0.25">
      <c r="A736" s="50"/>
      <c r="B736" s="375" t="s">
        <v>132</v>
      </c>
      <c r="C736" s="376"/>
      <c r="D736" s="376"/>
      <c r="E736" s="376"/>
      <c r="F736" s="377"/>
      <c r="G736" s="129"/>
    </row>
    <row r="737" spans="1:9" x14ac:dyDescent="0.2">
      <c r="A737" s="97" t="s">
        <v>158</v>
      </c>
      <c r="B737" s="98" t="s">
        <v>114</v>
      </c>
      <c r="C737" s="101"/>
      <c r="D737" s="99"/>
      <c r="E737" s="100"/>
      <c r="F737" s="99"/>
      <c r="G737" s="170"/>
    </row>
    <row r="738" spans="1:9" x14ac:dyDescent="0.2">
      <c r="A738" s="207" t="s">
        <v>140</v>
      </c>
      <c r="B738" s="250" t="s">
        <v>56</v>
      </c>
      <c r="C738" s="251"/>
      <c r="D738" s="210"/>
      <c r="E738" s="189"/>
      <c r="F738" s="210"/>
      <c r="G738" s="252"/>
    </row>
    <row r="739" spans="1:9" x14ac:dyDescent="0.2">
      <c r="A739" s="253" t="s">
        <v>153</v>
      </c>
      <c r="B739" s="254" t="s">
        <v>472</v>
      </c>
      <c r="C739" s="255" t="s">
        <v>103</v>
      </c>
      <c r="D739" s="256"/>
      <c r="E739" s="257"/>
      <c r="F739" s="119"/>
      <c r="G739" s="120"/>
    </row>
    <row r="740" spans="1:9" ht="37.5" customHeight="1" x14ac:dyDescent="0.2">
      <c r="A740" s="162"/>
      <c r="B740" s="218" t="s">
        <v>399</v>
      </c>
      <c r="C740" s="219" t="s">
        <v>115</v>
      </c>
      <c r="D740" s="44">
        <v>14</v>
      </c>
      <c r="E740" s="31"/>
      <c r="F740" s="46"/>
      <c r="G740" s="47">
        <f>(D740*E740)+(D740*F740)</f>
        <v>0</v>
      </c>
    </row>
    <row r="741" spans="1:9" ht="49.5" customHeight="1" x14ac:dyDescent="0.2">
      <c r="A741" s="162"/>
      <c r="B741" s="218" t="s">
        <v>400</v>
      </c>
      <c r="C741" s="219" t="s">
        <v>115</v>
      </c>
      <c r="D741" s="44">
        <v>13.5</v>
      </c>
      <c r="E741" s="31"/>
      <c r="F741" s="46"/>
      <c r="G741" s="47">
        <f>(D741*E741)+(D741*F741)</f>
        <v>0</v>
      </c>
    </row>
    <row r="742" spans="1:9" x14ac:dyDescent="0.2">
      <c r="A742" s="207" t="s">
        <v>141</v>
      </c>
      <c r="B742" s="250" t="s">
        <v>58</v>
      </c>
      <c r="C742" s="251"/>
      <c r="D742" s="210"/>
      <c r="E742" s="189"/>
      <c r="F742" s="210"/>
      <c r="G742" s="252"/>
    </row>
    <row r="743" spans="1:9" x14ac:dyDescent="0.2">
      <c r="A743" s="253" t="s">
        <v>153</v>
      </c>
      <c r="B743" s="254" t="s">
        <v>472</v>
      </c>
      <c r="C743" s="255" t="s">
        <v>103</v>
      </c>
      <c r="D743" s="256"/>
      <c r="E743" s="257"/>
      <c r="F743" s="119"/>
      <c r="G743" s="120"/>
    </row>
    <row r="744" spans="1:9" ht="25.5" customHeight="1" x14ac:dyDescent="0.2">
      <c r="A744" s="162"/>
      <c r="B744" s="218" t="s">
        <v>399</v>
      </c>
      <c r="C744" s="219" t="s">
        <v>115</v>
      </c>
      <c r="D744" s="44">
        <v>12.5</v>
      </c>
      <c r="E744" s="31"/>
      <c r="F744" s="46"/>
      <c r="G744" s="47">
        <f>(D744*E744)+(D744*F744)</f>
        <v>0</v>
      </c>
    </row>
    <row r="745" spans="1:9" ht="36" customHeight="1" x14ac:dyDescent="0.2">
      <c r="A745" s="162"/>
      <c r="B745" s="218" t="s">
        <v>400</v>
      </c>
      <c r="C745" s="219" t="s">
        <v>115</v>
      </c>
      <c r="D745" s="44">
        <v>6.7</v>
      </c>
      <c r="E745" s="31"/>
      <c r="F745" s="46"/>
      <c r="G745" s="47">
        <f>(D745*E745)+(D745*F745)</f>
        <v>0</v>
      </c>
    </row>
    <row r="746" spans="1:9" ht="11.25" customHeight="1" x14ac:dyDescent="0.2">
      <c r="A746" s="253" t="s">
        <v>154</v>
      </c>
      <c r="B746" s="254" t="s">
        <v>401</v>
      </c>
      <c r="C746" s="255" t="s">
        <v>103</v>
      </c>
      <c r="D746" s="256"/>
      <c r="E746" s="257"/>
      <c r="F746" s="119"/>
      <c r="G746" s="120"/>
    </row>
    <row r="747" spans="1:9" ht="25.5" customHeight="1" x14ac:dyDescent="0.2">
      <c r="A747" s="162"/>
      <c r="B747" s="218" t="s">
        <v>402</v>
      </c>
      <c r="C747" s="219" t="s">
        <v>115</v>
      </c>
      <c r="D747" s="44">
        <v>26.6</v>
      </c>
      <c r="E747" s="31"/>
      <c r="F747" s="46"/>
      <c r="G747" s="47">
        <f>(D747*E747)+(D747*F747)</f>
        <v>0</v>
      </c>
      <c r="I747" s="19">
        <f>2.85*5+1.8+2.775+1.5+1.7</f>
        <v>22.024999999999999</v>
      </c>
    </row>
    <row r="748" spans="1:9" x14ac:dyDescent="0.2">
      <c r="A748" s="97" t="s">
        <v>158</v>
      </c>
      <c r="B748" s="98" t="s">
        <v>273</v>
      </c>
      <c r="C748" s="101"/>
      <c r="D748" s="99"/>
      <c r="E748" s="100"/>
      <c r="F748" s="99"/>
      <c r="G748" s="170"/>
    </row>
    <row r="749" spans="1:9" ht="48" customHeight="1" x14ac:dyDescent="0.2">
      <c r="A749" s="27" t="s">
        <v>153</v>
      </c>
      <c r="B749" s="218" t="s">
        <v>385</v>
      </c>
      <c r="C749" s="219"/>
      <c r="D749" s="44"/>
      <c r="E749" s="31"/>
      <c r="F749" s="46"/>
      <c r="G749" s="47">
        <f t="shared" ref="G749:G759" si="139">(D749*E749)+(D749*F749)</f>
        <v>0</v>
      </c>
    </row>
    <row r="750" spans="1:9" x14ac:dyDescent="0.2">
      <c r="A750" s="162"/>
      <c r="B750" s="218" t="s">
        <v>473</v>
      </c>
      <c r="C750" s="219" t="s">
        <v>103</v>
      </c>
      <c r="D750" s="44">
        <v>4</v>
      </c>
      <c r="E750" s="31"/>
      <c r="F750" s="46"/>
      <c r="G750" s="47">
        <f t="shared" si="139"/>
        <v>0</v>
      </c>
    </row>
    <row r="751" spans="1:9" x14ac:dyDescent="0.2">
      <c r="A751" s="162"/>
      <c r="B751" s="218" t="s">
        <v>474</v>
      </c>
      <c r="C751" s="219" t="s">
        <v>103</v>
      </c>
      <c r="D751" s="44">
        <v>10</v>
      </c>
      <c r="E751" s="31"/>
      <c r="F751" s="46"/>
      <c r="G751" s="47">
        <f t="shared" ref="G751" si="140">(D751*E751)+(D751*F751)</f>
        <v>0</v>
      </c>
    </row>
    <row r="752" spans="1:9" x14ac:dyDescent="0.2">
      <c r="A752" s="162"/>
      <c r="B752" s="218" t="s">
        <v>475</v>
      </c>
      <c r="C752" s="219" t="s">
        <v>103</v>
      </c>
      <c r="D752" s="44">
        <v>8</v>
      </c>
      <c r="E752" s="31"/>
      <c r="F752" s="46"/>
      <c r="G752" s="47">
        <f t="shared" ref="G752:G753" si="141">(D752*E752)+(D752*F752)</f>
        <v>0</v>
      </c>
    </row>
    <row r="753" spans="1:10" x14ac:dyDescent="0.2">
      <c r="A753" s="162"/>
      <c r="B753" s="218" t="s">
        <v>476</v>
      </c>
      <c r="C753" s="219" t="s">
        <v>103</v>
      </c>
      <c r="D753" s="44">
        <v>4</v>
      </c>
      <c r="E753" s="31"/>
      <c r="F753" s="46"/>
      <c r="G753" s="47">
        <f t="shared" si="141"/>
        <v>0</v>
      </c>
    </row>
    <row r="754" spans="1:10" x14ac:dyDescent="0.2">
      <c r="A754" s="162"/>
      <c r="B754" s="218" t="s">
        <v>477</v>
      </c>
      <c r="C754" s="219" t="s">
        <v>103</v>
      </c>
      <c r="D754" s="44">
        <v>8</v>
      </c>
      <c r="E754" s="31"/>
      <c r="F754" s="46"/>
      <c r="G754" s="47">
        <f t="shared" ref="G754:G757" si="142">(D754*E754)+(D754*F754)</f>
        <v>0</v>
      </c>
    </row>
    <row r="755" spans="1:10" x14ac:dyDescent="0.2">
      <c r="A755" s="162"/>
      <c r="B755" s="218" t="s">
        <v>478</v>
      </c>
      <c r="C755" s="219" t="s">
        <v>103</v>
      </c>
      <c r="D755" s="44">
        <v>4</v>
      </c>
      <c r="E755" s="31"/>
      <c r="F755" s="46"/>
      <c r="G755" s="47">
        <f t="shared" si="142"/>
        <v>0</v>
      </c>
    </row>
    <row r="756" spans="1:10" x14ac:dyDescent="0.2">
      <c r="A756" s="162"/>
      <c r="B756" s="218" t="s">
        <v>479</v>
      </c>
      <c r="C756" s="219" t="s">
        <v>103</v>
      </c>
      <c r="D756" s="44">
        <v>2</v>
      </c>
      <c r="E756" s="31"/>
      <c r="F756" s="46"/>
      <c r="G756" s="47">
        <f t="shared" si="142"/>
        <v>0</v>
      </c>
    </row>
    <row r="757" spans="1:10" x14ac:dyDescent="0.2">
      <c r="A757" s="162"/>
      <c r="B757" s="218" t="s">
        <v>480</v>
      </c>
      <c r="C757" s="219" t="s">
        <v>103</v>
      </c>
      <c r="D757" s="44">
        <v>1</v>
      </c>
      <c r="E757" s="31"/>
      <c r="F757" s="46"/>
      <c r="G757" s="47">
        <f t="shared" si="142"/>
        <v>0</v>
      </c>
    </row>
    <row r="758" spans="1:10" ht="39" customHeight="1" x14ac:dyDescent="0.2">
      <c r="A758" s="27" t="s">
        <v>154</v>
      </c>
      <c r="B758" s="218" t="s">
        <v>283</v>
      </c>
      <c r="C758" s="219" t="s">
        <v>274</v>
      </c>
      <c r="D758" s="44">
        <v>7.6</v>
      </c>
      <c r="E758" s="31"/>
      <c r="F758" s="46"/>
      <c r="G758" s="47">
        <f t="shared" si="139"/>
        <v>0</v>
      </c>
    </row>
    <row r="759" spans="1:10" ht="24" x14ac:dyDescent="0.2">
      <c r="A759" s="27" t="s">
        <v>163</v>
      </c>
      <c r="B759" s="218" t="s">
        <v>481</v>
      </c>
      <c r="C759" s="219" t="s">
        <v>274</v>
      </c>
      <c r="D759" s="44">
        <v>1011</v>
      </c>
      <c r="E759" s="31"/>
      <c r="F759" s="46"/>
      <c r="G759" s="47">
        <f t="shared" si="139"/>
        <v>0</v>
      </c>
      <c r="I759" s="19">
        <v>963</v>
      </c>
      <c r="J759" s="19">
        <f>I759*105%</f>
        <v>1011.1500000000001</v>
      </c>
    </row>
    <row r="760" spans="1:10" ht="24" x14ac:dyDescent="0.2">
      <c r="A760" s="27" t="s">
        <v>164</v>
      </c>
      <c r="B760" s="218" t="s">
        <v>504</v>
      </c>
      <c r="C760" s="248" t="s">
        <v>335</v>
      </c>
      <c r="D760" s="44">
        <v>781.35</v>
      </c>
      <c r="E760" s="31"/>
      <c r="F760" s="46"/>
      <c r="G760" s="47">
        <f t="shared" ref="G760" si="143">(D760*E760)+(D760*F760)</f>
        <v>0</v>
      </c>
      <c r="I760" s="19">
        <f>32.2*6.62*2</f>
        <v>426.32800000000003</v>
      </c>
    </row>
    <row r="761" spans="1:10" ht="36" x14ac:dyDescent="0.2">
      <c r="A761" s="27" t="s">
        <v>165</v>
      </c>
      <c r="B761" s="218" t="s">
        <v>275</v>
      </c>
      <c r="C761" s="248" t="s">
        <v>335</v>
      </c>
      <c r="D761" s="44">
        <f>D760</f>
        <v>781.35</v>
      </c>
      <c r="E761" s="31"/>
      <c r="F761" s="46"/>
      <c r="G761" s="47">
        <f t="shared" ref="G761" si="144">(D761*E761)+(D761*F761)</f>
        <v>0</v>
      </c>
    </row>
    <row r="762" spans="1:10" ht="24" x14ac:dyDescent="0.2">
      <c r="A762" s="27" t="s">
        <v>166</v>
      </c>
      <c r="B762" s="218" t="s">
        <v>276</v>
      </c>
      <c r="C762" s="248" t="s">
        <v>335</v>
      </c>
      <c r="D762" s="44">
        <f>D760</f>
        <v>781.35</v>
      </c>
      <c r="E762" s="31"/>
      <c r="F762" s="46"/>
      <c r="G762" s="47">
        <f t="shared" ref="G762" si="145">(D762*E762)+(D762*F762)</f>
        <v>0</v>
      </c>
    </row>
    <row r="763" spans="1:10" ht="24" x14ac:dyDescent="0.2">
      <c r="A763" s="27" t="s">
        <v>167</v>
      </c>
      <c r="B763" s="218" t="s">
        <v>277</v>
      </c>
      <c r="C763" s="248" t="s">
        <v>278</v>
      </c>
      <c r="D763" s="44">
        <v>83.2</v>
      </c>
      <c r="E763" s="31"/>
      <c r="F763" s="46"/>
      <c r="G763" s="47">
        <f t="shared" ref="G763" si="146">(D763*E763)+(D763*F763)</f>
        <v>0</v>
      </c>
    </row>
    <row r="764" spans="1:10" ht="36.75" thickBot="1" x14ac:dyDescent="0.25">
      <c r="A764" s="27" t="s">
        <v>168</v>
      </c>
      <c r="B764" s="218" t="s">
        <v>279</v>
      </c>
      <c r="C764" s="248" t="s">
        <v>278</v>
      </c>
      <c r="D764" s="44">
        <v>156</v>
      </c>
      <c r="E764" s="31"/>
      <c r="F764" s="46"/>
      <c r="G764" s="47">
        <f t="shared" ref="G764" si="147">(D764*E764)+(D764*F764)</f>
        <v>0</v>
      </c>
      <c r="I764" s="19">
        <f>30.4*2+18.6*2+18.1*2+10.6*2</f>
        <v>155.39999999999998</v>
      </c>
    </row>
    <row r="765" spans="1:10" x14ac:dyDescent="0.2">
      <c r="A765" s="222"/>
      <c r="B765" s="56" t="s">
        <v>181</v>
      </c>
      <c r="C765" s="92"/>
      <c r="D765" s="58"/>
      <c r="E765" s="59"/>
      <c r="F765" s="159"/>
      <c r="G765" s="160"/>
    </row>
    <row r="766" spans="1:10" ht="12.75" thickBot="1" x14ac:dyDescent="0.25">
      <c r="A766" s="225"/>
      <c r="B766" s="61" t="s">
        <v>111</v>
      </c>
      <c r="C766" s="93"/>
      <c r="D766" s="63"/>
      <c r="E766" s="64"/>
      <c r="F766" s="125"/>
      <c r="G766" s="161">
        <f>SUM(G740:G765)</f>
        <v>0</v>
      </c>
    </row>
    <row r="767" spans="1:10" x14ac:dyDescent="0.2">
      <c r="A767" s="162"/>
      <c r="B767" s="67"/>
      <c r="C767" s="43"/>
      <c r="D767" s="44"/>
      <c r="E767" s="31"/>
      <c r="F767" s="46"/>
      <c r="G767" s="47"/>
    </row>
    <row r="768" spans="1:10" x14ac:dyDescent="0.2">
      <c r="A768" s="27"/>
      <c r="B768" s="28" t="s">
        <v>112</v>
      </c>
      <c r="C768" s="43"/>
      <c r="D768" s="44"/>
      <c r="E768" s="31"/>
      <c r="F768" s="46"/>
      <c r="G768" s="47"/>
    </row>
    <row r="769" spans="1:9" x14ac:dyDescent="0.2">
      <c r="A769" s="27"/>
      <c r="B769" s="36" t="s">
        <v>118</v>
      </c>
      <c r="C769" s="43"/>
      <c r="D769" s="44"/>
      <c r="E769" s="31"/>
      <c r="F769" s="46"/>
      <c r="G769" s="47"/>
    </row>
    <row r="770" spans="1:9" x14ac:dyDescent="0.2">
      <c r="A770" s="162" t="s">
        <v>113</v>
      </c>
      <c r="B770" s="80" t="s">
        <v>40</v>
      </c>
      <c r="C770" s="43"/>
      <c r="D770" s="44"/>
      <c r="E770" s="31"/>
      <c r="F770" s="46"/>
      <c r="G770" s="47"/>
    </row>
    <row r="771" spans="1:9" ht="36" customHeight="1" x14ac:dyDescent="0.2">
      <c r="A771" s="27"/>
      <c r="B771" s="49" t="s">
        <v>151</v>
      </c>
      <c r="C771" s="163"/>
      <c r="D771" s="163"/>
      <c r="E771" s="163"/>
      <c r="F771" s="163"/>
      <c r="G771" s="164"/>
    </row>
    <row r="772" spans="1:9" ht="51" customHeight="1" x14ac:dyDescent="0.2">
      <c r="A772" s="81"/>
      <c r="B772" s="49" t="s">
        <v>150</v>
      </c>
      <c r="C772" s="163"/>
      <c r="D772" s="163"/>
      <c r="E772" s="163"/>
      <c r="F772" s="163"/>
      <c r="G772" s="164"/>
    </row>
    <row r="773" spans="1:9" ht="28.5" customHeight="1" x14ac:dyDescent="0.2">
      <c r="A773" s="27"/>
      <c r="B773" s="49" t="s">
        <v>234</v>
      </c>
      <c r="C773" s="163"/>
      <c r="D773" s="163"/>
      <c r="E773" s="163"/>
      <c r="F773" s="163"/>
      <c r="G773" s="164"/>
    </row>
    <row r="774" spans="1:9" ht="36.75" customHeight="1" x14ac:dyDescent="0.2">
      <c r="A774" s="27"/>
      <c r="B774" s="49" t="s">
        <v>149</v>
      </c>
      <c r="C774" s="163"/>
      <c r="D774" s="163"/>
      <c r="E774" s="163"/>
      <c r="F774" s="163"/>
      <c r="G774" s="164"/>
    </row>
    <row r="775" spans="1:9" ht="29.25" customHeight="1" x14ac:dyDescent="0.2">
      <c r="A775" s="27"/>
      <c r="B775" s="49" t="s">
        <v>235</v>
      </c>
      <c r="C775" s="163"/>
      <c r="D775" s="163"/>
      <c r="E775" s="163"/>
      <c r="F775" s="163"/>
      <c r="G775" s="164"/>
    </row>
    <row r="776" spans="1:9" x14ac:dyDescent="0.2">
      <c r="A776" s="258" t="s">
        <v>140</v>
      </c>
      <c r="B776" s="259" t="s">
        <v>56</v>
      </c>
      <c r="C776" s="260"/>
      <c r="D776" s="261"/>
      <c r="E776" s="238"/>
      <c r="F776" s="135"/>
      <c r="G776" s="136">
        <f>D776*E776</f>
        <v>0</v>
      </c>
    </row>
    <row r="777" spans="1:9" x14ac:dyDescent="0.2">
      <c r="A777" s="262" t="s">
        <v>153</v>
      </c>
      <c r="B777" s="263" t="s">
        <v>120</v>
      </c>
      <c r="C777" s="186"/>
      <c r="D777" s="264"/>
      <c r="E777" s="182"/>
      <c r="F777" s="187"/>
      <c r="G777" s="265"/>
    </row>
    <row r="778" spans="1:9" x14ac:dyDescent="0.2">
      <c r="A778" s="266" t="s">
        <v>172</v>
      </c>
      <c r="B778" s="156" t="s">
        <v>189</v>
      </c>
      <c r="C778" s="68" t="s">
        <v>14</v>
      </c>
      <c r="D778" s="157">
        <v>1</v>
      </c>
      <c r="E778" s="31"/>
      <c r="F778" s="46"/>
      <c r="G778" s="47">
        <f>(D778*E778)+(D778*F778)</f>
        <v>0</v>
      </c>
    </row>
    <row r="779" spans="1:9" ht="27" customHeight="1" x14ac:dyDescent="0.2">
      <c r="A779" s="266" t="s">
        <v>173</v>
      </c>
      <c r="B779" s="156" t="s">
        <v>190</v>
      </c>
      <c r="C779" s="68" t="s">
        <v>14</v>
      </c>
      <c r="D779" s="157">
        <v>1</v>
      </c>
      <c r="E779" s="31"/>
      <c r="F779" s="46"/>
      <c r="G779" s="47">
        <f>(D779*E779)+(D779*F779)</f>
        <v>0</v>
      </c>
    </row>
    <row r="780" spans="1:9" ht="36" x14ac:dyDescent="0.2">
      <c r="A780" s="266" t="s">
        <v>174</v>
      </c>
      <c r="B780" s="156" t="s">
        <v>219</v>
      </c>
      <c r="C780" s="68" t="s">
        <v>103</v>
      </c>
      <c r="D780" s="157">
        <v>1</v>
      </c>
      <c r="E780" s="31"/>
      <c r="F780" s="46"/>
      <c r="G780" s="47">
        <f>(D780*E780)+(D780*F780)</f>
        <v>0</v>
      </c>
    </row>
    <row r="781" spans="1:9" x14ac:dyDescent="0.2">
      <c r="A781" s="262" t="s">
        <v>154</v>
      </c>
      <c r="B781" s="267" t="s">
        <v>121</v>
      </c>
      <c r="C781" s="186"/>
      <c r="D781" s="264"/>
      <c r="E781" s="182"/>
      <c r="F781" s="183"/>
      <c r="G781" s="184">
        <f>D781*E781</f>
        <v>0</v>
      </c>
    </row>
    <row r="782" spans="1:9" x14ac:dyDescent="0.2">
      <c r="A782" s="266" t="s">
        <v>153</v>
      </c>
      <c r="B782" s="156" t="s">
        <v>323</v>
      </c>
      <c r="C782" s="68" t="s">
        <v>103</v>
      </c>
      <c r="D782" s="157">
        <v>2</v>
      </c>
      <c r="E782" s="31"/>
      <c r="F782" s="46"/>
      <c r="G782" s="47">
        <f>(D782*E782)+(D782*F782)</f>
        <v>0</v>
      </c>
      <c r="I782" s="268"/>
    </row>
    <row r="783" spans="1:9" x14ac:dyDescent="0.2">
      <c r="A783" s="266" t="s">
        <v>154</v>
      </c>
      <c r="B783" s="156" t="s">
        <v>324</v>
      </c>
      <c r="C783" s="68" t="s">
        <v>103</v>
      </c>
      <c r="D783" s="157">
        <v>1</v>
      </c>
      <c r="E783" s="31"/>
      <c r="F783" s="46"/>
      <c r="G783" s="47">
        <f t="shared" ref="G783" si="148">(D783*E783)+(D783*F783)</f>
        <v>0</v>
      </c>
      <c r="I783" s="268"/>
    </row>
    <row r="784" spans="1:9" x14ac:dyDescent="0.2">
      <c r="A784" s="266" t="s">
        <v>163</v>
      </c>
      <c r="B784" s="156" t="s">
        <v>325</v>
      </c>
      <c r="C784" s="68" t="s">
        <v>103</v>
      </c>
      <c r="D784" s="157">
        <f>D783</f>
        <v>1</v>
      </c>
      <c r="E784" s="31"/>
      <c r="F784" s="46"/>
      <c r="G784" s="47">
        <f t="shared" ref="G784:G793" si="149">(D784*E784)+(D784*F784)</f>
        <v>0</v>
      </c>
      <c r="I784" s="268"/>
    </row>
    <row r="785" spans="1:10" x14ac:dyDescent="0.2">
      <c r="A785" s="266" t="s">
        <v>164</v>
      </c>
      <c r="B785" s="156" t="s">
        <v>122</v>
      </c>
      <c r="C785" s="68" t="s">
        <v>103</v>
      </c>
      <c r="D785" s="157">
        <f>D782</f>
        <v>2</v>
      </c>
      <c r="E785" s="31"/>
      <c r="F785" s="46"/>
      <c r="G785" s="47">
        <f t="shared" si="149"/>
        <v>0</v>
      </c>
      <c r="I785" s="268"/>
    </row>
    <row r="786" spans="1:10" x14ac:dyDescent="0.2">
      <c r="A786" s="266" t="s">
        <v>165</v>
      </c>
      <c r="B786" s="156" t="s">
        <v>329</v>
      </c>
      <c r="C786" s="68" t="s">
        <v>103</v>
      </c>
      <c r="D786" s="157">
        <v>1</v>
      </c>
      <c r="E786" s="31"/>
      <c r="F786" s="46"/>
      <c r="G786" s="47">
        <f t="shared" si="149"/>
        <v>0</v>
      </c>
      <c r="I786" s="268"/>
    </row>
    <row r="787" spans="1:10" x14ac:dyDescent="0.2">
      <c r="A787" s="266" t="s">
        <v>166</v>
      </c>
      <c r="B787" s="156" t="s">
        <v>326</v>
      </c>
      <c r="C787" s="68" t="s">
        <v>103</v>
      </c>
      <c r="D787" s="157">
        <f>D782</f>
        <v>2</v>
      </c>
      <c r="E787" s="31"/>
      <c r="F787" s="46"/>
      <c r="G787" s="47">
        <f t="shared" si="149"/>
        <v>0</v>
      </c>
      <c r="I787" s="268"/>
    </row>
    <row r="788" spans="1:10" x14ac:dyDescent="0.2">
      <c r="A788" s="266" t="s">
        <v>167</v>
      </c>
      <c r="B788" s="156" t="s">
        <v>171</v>
      </c>
      <c r="C788" s="68" t="s">
        <v>103</v>
      </c>
      <c r="D788" s="157">
        <v>2</v>
      </c>
      <c r="E788" s="31"/>
      <c r="F788" s="46"/>
      <c r="G788" s="47">
        <f t="shared" si="149"/>
        <v>0</v>
      </c>
      <c r="I788" s="268"/>
    </row>
    <row r="789" spans="1:10" x14ac:dyDescent="0.2">
      <c r="A789" s="266" t="s">
        <v>168</v>
      </c>
      <c r="B789" s="156" t="s">
        <v>327</v>
      </c>
      <c r="C789" s="68" t="s">
        <v>103</v>
      </c>
      <c r="D789" s="157">
        <f>D783</f>
        <v>1</v>
      </c>
      <c r="E789" s="31"/>
      <c r="F789" s="46"/>
      <c r="G789" s="47">
        <f t="shared" si="149"/>
        <v>0</v>
      </c>
      <c r="I789" s="268"/>
    </row>
    <row r="790" spans="1:10" x14ac:dyDescent="0.2">
      <c r="A790" s="266" t="s">
        <v>169</v>
      </c>
      <c r="B790" s="156" t="s">
        <v>495</v>
      </c>
      <c r="C790" s="68" t="s">
        <v>103</v>
      </c>
      <c r="D790" s="157">
        <v>28</v>
      </c>
      <c r="E790" s="31"/>
      <c r="F790" s="46"/>
      <c r="G790" s="47"/>
      <c r="I790" s="268"/>
    </row>
    <row r="791" spans="1:10" x14ac:dyDescent="0.2">
      <c r="A791" s="266" t="s">
        <v>494</v>
      </c>
      <c r="B791" s="156" t="s">
        <v>499</v>
      </c>
      <c r="C791" s="68" t="s">
        <v>103</v>
      </c>
      <c r="D791" s="157">
        <v>28</v>
      </c>
      <c r="E791" s="31"/>
      <c r="F791" s="46"/>
      <c r="G791" s="47"/>
      <c r="I791" s="268"/>
    </row>
    <row r="792" spans="1:10" x14ac:dyDescent="0.2">
      <c r="A792" s="266" t="s">
        <v>496</v>
      </c>
      <c r="B792" s="156" t="s">
        <v>497</v>
      </c>
      <c r="C792" s="68" t="s">
        <v>103</v>
      </c>
      <c r="D792" s="157">
        <v>28</v>
      </c>
      <c r="E792" s="31"/>
      <c r="F792" s="46"/>
      <c r="G792" s="47"/>
      <c r="I792" s="268"/>
    </row>
    <row r="793" spans="1:10" x14ac:dyDescent="0.2">
      <c r="A793" s="266" t="s">
        <v>498</v>
      </c>
      <c r="B793" s="156" t="s">
        <v>232</v>
      </c>
      <c r="C793" s="68" t="s">
        <v>103</v>
      </c>
      <c r="D793" s="157">
        <v>8</v>
      </c>
      <c r="E793" s="31"/>
      <c r="F793" s="46"/>
      <c r="G793" s="47">
        <f t="shared" si="149"/>
        <v>0</v>
      </c>
      <c r="I793" s="268"/>
    </row>
    <row r="794" spans="1:10" ht="12.75" customHeight="1" x14ac:dyDescent="0.2">
      <c r="A794" s="262" t="s">
        <v>154</v>
      </c>
      <c r="B794" s="269" t="s">
        <v>191</v>
      </c>
      <c r="C794" s="270"/>
      <c r="D794" s="264"/>
      <c r="E794" s="182"/>
      <c r="F794" s="183"/>
      <c r="G794" s="184">
        <f t="shared" ref="G794:G797" si="150">(D794*E794)+(D794*F794)</f>
        <v>0</v>
      </c>
    </row>
    <row r="795" spans="1:10" ht="47.25" customHeight="1" x14ac:dyDescent="0.2">
      <c r="A795" s="266" t="s">
        <v>153</v>
      </c>
      <c r="B795" s="156" t="s">
        <v>347</v>
      </c>
      <c r="C795" s="68" t="s">
        <v>14</v>
      </c>
      <c r="D795" s="157">
        <v>1</v>
      </c>
      <c r="E795" s="31"/>
      <c r="F795" s="46"/>
      <c r="G795" s="47">
        <f t="shared" si="150"/>
        <v>0</v>
      </c>
    </row>
    <row r="796" spans="1:10" ht="36.75" customHeight="1" x14ac:dyDescent="0.2">
      <c r="A796" s="266" t="s">
        <v>154</v>
      </c>
      <c r="B796" s="156" t="s">
        <v>348</v>
      </c>
      <c r="C796" s="68" t="s">
        <v>14</v>
      </c>
      <c r="D796" s="157">
        <v>3</v>
      </c>
      <c r="E796" s="31"/>
      <c r="F796" s="46"/>
      <c r="G796" s="47">
        <f t="shared" si="150"/>
        <v>0</v>
      </c>
    </row>
    <row r="797" spans="1:10" ht="63.75" customHeight="1" x14ac:dyDescent="0.2">
      <c r="A797" s="266" t="s">
        <v>163</v>
      </c>
      <c r="B797" s="156" t="s">
        <v>349</v>
      </c>
      <c r="C797" s="113" t="s">
        <v>334</v>
      </c>
      <c r="D797" s="157">
        <v>1.8</v>
      </c>
      <c r="E797" s="31"/>
      <c r="F797" s="46"/>
      <c r="G797" s="47">
        <f t="shared" si="150"/>
        <v>0</v>
      </c>
      <c r="I797" s="109"/>
      <c r="J797" s="109"/>
    </row>
    <row r="798" spans="1:10" ht="12" customHeight="1" x14ac:dyDescent="0.2">
      <c r="A798" s="266"/>
      <c r="B798" s="156"/>
      <c r="C798" s="68"/>
      <c r="D798" s="157"/>
      <c r="E798" s="31"/>
      <c r="F798" s="46"/>
      <c r="G798" s="47"/>
      <c r="I798" s="109"/>
      <c r="J798" s="109"/>
    </row>
    <row r="799" spans="1:10" ht="12" customHeight="1" x14ac:dyDescent="0.2">
      <c r="A799" s="266"/>
      <c r="B799" s="156"/>
      <c r="C799" s="68"/>
      <c r="D799" s="157"/>
      <c r="E799" s="31"/>
      <c r="F799" s="46"/>
      <c r="G799" s="47"/>
      <c r="I799" s="109"/>
      <c r="J799" s="109"/>
    </row>
    <row r="800" spans="1:10" ht="12" customHeight="1" x14ac:dyDescent="0.2">
      <c r="A800" s="266"/>
      <c r="B800" s="156"/>
      <c r="C800" s="68"/>
      <c r="D800" s="157"/>
      <c r="E800" s="31"/>
      <c r="F800" s="46"/>
      <c r="G800" s="47"/>
      <c r="I800" s="109"/>
      <c r="J800" s="109"/>
    </row>
    <row r="801" spans="1:10" ht="12" customHeight="1" x14ac:dyDescent="0.2">
      <c r="A801" s="266"/>
      <c r="B801" s="156"/>
      <c r="C801" s="68"/>
      <c r="D801" s="157"/>
      <c r="E801" s="31"/>
      <c r="F801" s="46"/>
      <c r="G801" s="47"/>
      <c r="I801" s="109"/>
      <c r="J801" s="109"/>
    </row>
    <row r="802" spans="1:10" ht="12" customHeight="1" thickBot="1" x14ac:dyDescent="0.25">
      <c r="A802" s="340"/>
      <c r="B802" s="341"/>
      <c r="C802" s="342"/>
      <c r="D802" s="343"/>
      <c r="E802" s="64"/>
      <c r="F802" s="125"/>
      <c r="G802" s="126"/>
      <c r="I802" s="109"/>
      <c r="J802" s="109"/>
    </row>
    <row r="803" spans="1:10" ht="12" customHeight="1" x14ac:dyDescent="0.2">
      <c r="A803" s="258" t="s">
        <v>141</v>
      </c>
      <c r="B803" s="259" t="s">
        <v>58</v>
      </c>
      <c r="C803" s="260"/>
      <c r="D803" s="261"/>
      <c r="E803" s="238"/>
      <c r="F803" s="135"/>
      <c r="G803" s="136"/>
    </row>
    <row r="804" spans="1:10" x14ac:dyDescent="0.2">
      <c r="A804" s="262" t="s">
        <v>153</v>
      </c>
      <c r="B804" s="263" t="s">
        <v>120</v>
      </c>
      <c r="C804" s="186"/>
      <c r="D804" s="264"/>
      <c r="E804" s="182"/>
      <c r="F804" s="187"/>
      <c r="G804" s="265"/>
      <c r="I804" s="109"/>
      <c r="J804" s="109"/>
    </row>
    <row r="805" spans="1:10" x14ac:dyDescent="0.2">
      <c r="A805" s="266" t="s">
        <v>172</v>
      </c>
      <c r="B805" s="156" t="s">
        <v>189</v>
      </c>
      <c r="C805" s="68" t="s">
        <v>14</v>
      </c>
      <c r="D805" s="157">
        <v>1</v>
      </c>
      <c r="E805" s="31"/>
      <c r="F805" s="46"/>
      <c r="G805" s="47">
        <f>(D805*E805)+(D805*F805)</f>
        <v>0</v>
      </c>
    </row>
    <row r="806" spans="1:10" ht="24" x14ac:dyDescent="0.2">
      <c r="A806" s="266" t="s">
        <v>173</v>
      </c>
      <c r="B806" s="156" t="s">
        <v>190</v>
      </c>
      <c r="C806" s="68" t="s">
        <v>14</v>
      </c>
      <c r="D806" s="157">
        <v>1</v>
      </c>
      <c r="E806" s="31"/>
      <c r="F806" s="46"/>
      <c r="G806" s="47">
        <f>(D806*E806)+(D806*F806)</f>
        <v>0</v>
      </c>
    </row>
    <row r="807" spans="1:10" ht="12.75" customHeight="1" x14ac:dyDescent="0.2">
      <c r="A807" s="262" t="s">
        <v>154</v>
      </c>
      <c r="B807" s="267" t="s">
        <v>121</v>
      </c>
      <c r="C807" s="186"/>
      <c r="D807" s="264"/>
      <c r="E807" s="182"/>
      <c r="F807" s="183"/>
      <c r="G807" s="184"/>
    </row>
    <row r="808" spans="1:10" x14ac:dyDescent="0.2">
      <c r="A808" s="266" t="s">
        <v>153</v>
      </c>
      <c r="B808" s="156" t="s">
        <v>323</v>
      </c>
      <c r="C808" s="68" t="s">
        <v>103</v>
      </c>
      <c r="D808" s="157">
        <v>2</v>
      </c>
      <c r="E808" s="31"/>
      <c r="F808" s="46"/>
      <c r="G808" s="47">
        <f>(D808*E808)+(D808*F808)</f>
        <v>0</v>
      </c>
    </row>
    <row r="809" spans="1:10" x14ac:dyDescent="0.2">
      <c r="A809" s="266" t="s">
        <v>154</v>
      </c>
      <c r="B809" s="156" t="s">
        <v>324</v>
      </c>
      <c r="C809" s="68" t="s">
        <v>103</v>
      </c>
      <c r="D809" s="157">
        <v>2</v>
      </c>
      <c r="E809" s="31"/>
      <c r="F809" s="46"/>
      <c r="G809" s="47">
        <f t="shared" ref="G809:G816" si="151">(D809*E809)+(D809*F809)</f>
        <v>0</v>
      </c>
    </row>
    <row r="810" spans="1:10" x14ac:dyDescent="0.2">
      <c r="A810" s="266" t="s">
        <v>163</v>
      </c>
      <c r="B810" s="156" t="s">
        <v>325</v>
      </c>
      <c r="C810" s="68" t="s">
        <v>103</v>
      </c>
      <c r="D810" s="157">
        <f>D809</f>
        <v>2</v>
      </c>
      <c r="E810" s="31"/>
      <c r="F810" s="46"/>
      <c r="G810" s="47">
        <f t="shared" si="151"/>
        <v>0</v>
      </c>
    </row>
    <row r="811" spans="1:10" ht="14.25" customHeight="1" x14ac:dyDescent="0.2">
      <c r="A811" s="266" t="s">
        <v>164</v>
      </c>
      <c r="B811" s="156" t="s">
        <v>122</v>
      </c>
      <c r="C811" s="68" t="s">
        <v>103</v>
      </c>
      <c r="D811" s="157">
        <f>D808</f>
        <v>2</v>
      </c>
      <c r="E811" s="31"/>
      <c r="F811" s="46"/>
      <c r="G811" s="47">
        <f t="shared" si="151"/>
        <v>0</v>
      </c>
    </row>
    <row r="812" spans="1:10" ht="14.25" customHeight="1" x14ac:dyDescent="0.2">
      <c r="A812" s="266" t="s">
        <v>165</v>
      </c>
      <c r="B812" s="156" t="s">
        <v>386</v>
      </c>
      <c r="C812" s="68" t="s">
        <v>103</v>
      </c>
      <c r="D812" s="157">
        <v>2</v>
      </c>
      <c r="E812" s="31"/>
      <c r="F812" s="46"/>
      <c r="G812" s="47">
        <f t="shared" si="151"/>
        <v>0</v>
      </c>
    </row>
    <row r="813" spans="1:10" x14ac:dyDescent="0.2">
      <c r="A813" s="266" t="s">
        <v>166</v>
      </c>
      <c r="B813" s="156" t="s">
        <v>326</v>
      </c>
      <c r="C813" s="68" t="s">
        <v>103</v>
      </c>
      <c r="D813" s="157">
        <f>D808</f>
        <v>2</v>
      </c>
      <c r="E813" s="31"/>
      <c r="F813" s="46"/>
      <c r="G813" s="47">
        <f t="shared" si="151"/>
        <v>0</v>
      </c>
    </row>
    <row r="814" spans="1:10" x14ac:dyDescent="0.2">
      <c r="A814" s="266" t="s">
        <v>167</v>
      </c>
      <c r="B814" s="156" t="s">
        <v>171</v>
      </c>
      <c r="C814" s="68" t="s">
        <v>103</v>
      </c>
      <c r="D814" s="157">
        <v>5</v>
      </c>
      <c r="E814" s="31"/>
      <c r="F814" s="46"/>
      <c r="G814" s="47">
        <f t="shared" si="151"/>
        <v>0</v>
      </c>
    </row>
    <row r="815" spans="1:10" x14ac:dyDescent="0.2">
      <c r="A815" s="266" t="s">
        <v>168</v>
      </c>
      <c r="B815" s="156" t="s">
        <v>327</v>
      </c>
      <c r="C815" s="68" t="s">
        <v>103</v>
      </c>
      <c r="D815" s="157">
        <f>D809</f>
        <v>2</v>
      </c>
      <c r="E815" s="31"/>
      <c r="F815" s="46"/>
      <c r="G815" s="47">
        <f t="shared" si="151"/>
        <v>0</v>
      </c>
    </row>
    <row r="816" spans="1:10" x14ac:dyDescent="0.2">
      <c r="A816" s="266" t="s">
        <v>169</v>
      </c>
      <c r="B816" s="156" t="s">
        <v>232</v>
      </c>
      <c r="C816" s="68" t="s">
        <v>103</v>
      </c>
      <c r="D816" s="157">
        <v>4</v>
      </c>
      <c r="E816" s="31"/>
      <c r="F816" s="46"/>
      <c r="G816" s="47">
        <f t="shared" si="151"/>
        <v>0</v>
      </c>
    </row>
    <row r="817" spans="1:7" x14ac:dyDescent="0.2">
      <c r="A817" s="262" t="s">
        <v>163</v>
      </c>
      <c r="B817" s="269" t="s">
        <v>191</v>
      </c>
      <c r="C817" s="270"/>
      <c r="D817" s="264"/>
      <c r="E817" s="182"/>
      <c r="F817" s="183"/>
      <c r="G817" s="184">
        <f t="shared" ref="G817:G818" si="152">(D817*E817)+(D817*F817)</f>
        <v>0</v>
      </c>
    </row>
    <row r="818" spans="1:7" ht="48" x14ac:dyDescent="0.2">
      <c r="A818" s="266" t="s">
        <v>153</v>
      </c>
      <c r="B818" s="156" t="s">
        <v>347</v>
      </c>
      <c r="C818" s="68" t="s">
        <v>14</v>
      </c>
      <c r="D818" s="157">
        <v>1</v>
      </c>
      <c r="E818" s="31"/>
      <c r="F818" s="46"/>
      <c r="G818" s="47">
        <f t="shared" si="152"/>
        <v>0</v>
      </c>
    </row>
    <row r="819" spans="1:7" x14ac:dyDescent="0.2">
      <c r="A819" s="258" t="s">
        <v>142</v>
      </c>
      <c r="B819" s="259" t="s">
        <v>239</v>
      </c>
      <c r="C819" s="260"/>
      <c r="D819" s="261"/>
      <c r="E819" s="238"/>
      <c r="F819" s="135"/>
      <c r="G819" s="136"/>
    </row>
    <row r="820" spans="1:7" x14ac:dyDescent="0.2">
      <c r="A820" s="262" t="s">
        <v>153</v>
      </c>
      <c r="B820" s="267" t="s">
        <v>121</v>
      </c>
      <c r="C820" s="186"/>
      <c r="D820" s="264"/>
      <c r="E820" s="182"/>
      <c r="F820" s="183"/>
      <c r="G820" s="184"/>
    </row>
    <row r="821" spans="1:7" x14ac:dyDescent="0.2">
      <c r="A821" s="266" t="s">
        <v>153</v>
      </c>
      <c r="B821" s="156" t="s">
        <v>171</v>
      </c>
      <c r="C821" s="68" t="s">
        <v>103</v>
      </c>
      <c r="D821" s="157">
        <v>4</v>
      </c>
      <c r="E821" s="31"/>
      <c r="F821" s="46"/>
      <c r="G821" s="47">
        <f t="shared" ref="G821" si="153">(D821*E821)+(D821*F821)</f>
        <v>0</v>
      </c>
    </row>
    <row r="822" spans="1:7" x14ac:dyDescent="0.2">
      <c r="A822" s="262" t="s">
        <v>154</v>
      </c>
      <c r="B822" s="269" t="s">
        <v>191</v>
      </c>
      <c r="C822" s="270"/>
      <c r="D822" s="264"/>
      <c r="E822" s="182"/>
      <c r="F822" s="183"/>
      <c r="G822" s="184">
        <f t="shared" ref="G822:G823" si="154">(D822*E822)+(D822*F822)</f>
        <v>0</v>
      </c>
    </row>
    <row r="823" spans="1:7" ht="48" x14ac:dyDescent="0.2">
      <c r="A823" s="266" t="s">
        <v>153</v>
      </c>
      <c r="B823" s="156" t="s">
        <v>487</v>
      </c>
      <c r="C823" s="68" t="s">
        <v>14</v>
      </c>
      <c r="D823" s="157">
        <v>1</v>
      </c>
      <c r="E823" s="31"/>
      <c r="F823" s="46"/>
      <c r="G823" s="47">
        <f t="shared" si="154"/>
        <v>0</v>
      </c>
    </row>
    <row r="824" spans="1:7" ht="48" x14ac:dyDescent="0.2">
      <c r="A824" s="266" t="s">
        <v>154</v>
      </c>
      <c r="B824" s="156" t="s">
        <v>486</v>
      </c>
      <c r="C824" s="68" t="s">
        <v>14</v>
      </c>
      <c r="D824" s="157">
        <v>1</v>
      </c>
      <c r="E824" s="31"/>
      <c r="F824" s="46"/>
      <c r="G824" s="47">
        <f t="shared" ref="G824" si="155">(D824*E824)+(D824*F824)</f>
        <v>0</v>
      </c>
    </row>
    <row r="825" spans="1:7" x14ac:dyDescent="0.2">
      <c r="A825" s="266"/>
      <c r="B825" s="156"/>
      <c r="C825" s="68"/>
      <c r="D825" s="157"/>
      <c r="E825" s="31"/>
      <c r="F825" s="46"/>
      <c r="G825" s="47"/>
    </row>
    <row r="826" spans="1:7" x14ac:dyDescent="0.2">
      <c r="A826" s="266"/>
      <c r="B826" s="156"/>
      <c r="C826" s="68"/>
      <c r="D826" s="157"/>
      <c r="E826" s="31"/>
      <c r="F826" s="46"/>
      <c r="G826" s="47"/>
    </row>
    <row r="827" spans="1:7" x14ac:dyDescent="0.2">
      <c r="A827" s="266"/>
      <c r="B827" s="156"/>
      <c r="C827" s="68"/>
      <c r="D827" s="157"/>
      <c r="E827" s="31"/>
      <c r="F827" s="46"/>
      <c r="G827" s="47"/>
    </row>
    <row r="828" spans="1:7" x14ac:dyDescent="0.2">
      <c r="A828" s="266"/>
      <c r="B828" s="156"/>
      <c r="C828" s="68"/>
      <c r="D828" s="157"/>
      <c r="E828" s="31"/>
      <c r="F828" s="46"/>
      <c r="G828" s="47"/>
    </row>
    <row r="829" spans="1:7" x14ac:dyDescent="0.2">
      <c r="A829" s="266"/>
      <c r="B829" s="156"/>
      <c r="C829" s="68"/>
      <c r="D829" s="157"/>
      <c r="E829" s="31"/>
      <c r="F829" s="46"/>
      <c r="G829" s="47"/>
    </row>
    <row r="830" spans="1:7" x14ac:dyDescent="0.2">
      <c r="A830" s="266"/>
      <c r="B830" s="156"/>
      <c r="C830" s="68"/>
      <c r="D830" s="157"/>
      <c r="E830" s="31"/>
      <c r="F830" s="46"/>
      <c r="G830" s="47"/>
    </row>
    <row r="831" spans="1:7" x14ac:dyDescent="0.2">
      <c r="A831" s="266"/>
      <c r="B831" s="156"/>
      <c r="C831" s="68"/>
      <c r="D831" s="157"/>
      <c r="E831" s="31"/>
      <c r="F831" s="46"/>
      <c r="G831" s="47"/>
    </row>
    <row r="832" spans="1:7" x14ac:dyDescent="0.2">
      <c r="A832" s="266"/>
      <c r="B832" s="156"/>
      <c r="C832" s="68"/>
      <c r="D832" s="157"/>
      <c r="E832" s="31"/>
      <c r="F832" s="46"/>
      <c r="G832" s="47"/>
    </row>
    <row r="833" spans="1:7" x14ac:dyDescent="0.2">
      <c r="A833" s="266"/>
      <c r="B833" s="156"/>
      <c r="C833" s="68"/>
      <c r="D833" s="157"/>
      <c r="E833" s="31"/>
      <c r="F833" s="46"/>
      <c r="G833" s="47"/>
    </row>
    <row r="834" spans="1:7" x14ac:dyDescent="0.2">
      <c r="A834" s="266"/>
      <c r="B834" s="156"/>
      <c r="C834" s="68"/>
      <c r="D834" s="157"/>
      <c r="E834" s="31"/>
      <c r="F834" s="46"/>
      <c r="G834" s="47"/>
    </row>
    <row r="835" spans="1:7" x14ac:dyDescent="0.2">
      <c r="A835" s="266"/>
      <c r="B835" s="156"/>
      <c r="C835" s="68"/>
      <c r="D835" s="157"/>
      <c r="E835" s="31"/>
      <c r="F835" s="46"/>
      <c r="G835" s="47"/>
    </row>
    <row r="836" spans="1:7" x14ac:dyDescent="0.2">
      <c r="A836" s="266"/>
      <c r="B836" s="156"/>
      <c r="C836" s="68"/>
      <c r="D836" s="157"/>
      <c r="E836" s="31"/>
      <c r="F836" s="46"/>
      <c r="G836" s="47"/>
    </row>
    <row r="837" spans="1:7" x14ac:dyDescent="0.2">
      <c r="A837" s="266"/>
      <c r="B837" s="156"/>
      <c r="C837" s="68"/>
      <c r="D837" s="157"/>
      <c r="E837" s="31"/>
      <c r="F837" s="46"/>
      <c r="G837" s="47"/>
    </row>
    <row r="838" spans="1:7" x14ac:dyDescent="0.2">
      <c r="A838" s="266"/>
      <c r="B838" s="156"/>
      <c r="C838" s="68"/>
      <c r="D838" s="157"/>
      <c r="E838" s="31"/>
      <c r="F838" s="46"/>
      <c r="G838" s="47"/>
    </row>
    <row r="839" spans="1:7" x14ac:dyDescent="0.2">
      <c r="A839" s="266"/>
      <c r="B839" s="156"/>
      <c r="C839" s="68"/>
      <c r="D839" s="157"/>
      <c r="E839" s="31"/>
      <c r="F839" s="46"/>
      <c r="G839" s="47"/>
    </row>
    <row r="840" spans="1:7" x14ac:dyDescent="0.2">
      <c r="A840" s="266"/>
      <c r="B840" s="156"/>
      <c r="C840" s="68"/>
      <c r="D840" s="157"/>
      <c r="E840" s="31"/>
      <c r="F840" s="46"/>
      <c r="G840" s="47"/>
    </row>
    <row r="841" spans="1:7" x14ac:dyDescent="0.2">
      <c r="A841" s="266"/>
      <c r="B841" s="156"/>
      <c r="C841" s="68"/>
      <c r="D841" s="157"/>
      <c r="E841" s="31"/>
      <c r="F841" s="46"/>
      <c r="G841" s="47"/>
    </row>
    <row r="842" spans="1:7" x14ac:dyDescent="0.2">
      <c r="A842" s="266"/>
      <c r="B842" s="156"/>
      <c r="C842" s="68"/>
      <c r="D842" s="157"/>
      <c r="E842" s="31"/>
      <c r="F842" s="46"/>
      <c r="G842" s="47"/>
    </row>
    <row r="843" spans="1:7" x14ac:dyDescent="0.2">
      <c r="A843" s="266"/>
      <c r="B843" s="156"/>
      <c r="C843" s="68"/>
      <c r="D843" s="157"/>
      <c r="E843" s="31"/>
      <c r="F843" s="46"/>
      <c r="G843" s="47"/>
    </row>
    <row r="844" spans="1:7" x14ac:dyDescent="0.2">
      <c r="A844" s="266"/>
      <c r="B844" s="156"/>
      <c r="C844" s="68"/>
      <c r="D844" s="157"/>
      <c r="E844" s="31"/>
      <c r="F844" s="46"/>
      <c r="G844" s="47"/>
    </row>
    <row r="845" spans="1:7" x14ac:dyDescent="0.2">
      <c r="A845" s="266"/>
      <c r="B845" s="156"/>
      <c r="C845" s="68"/>
      <c r="D845" s="157"/>
      <c r="E845" s="31"/>
      <c r="F845" s="46"/>
      <c r="G845" s="47"/>
    </row>
    <row r="846" spans="1:7" x14ac:dyDescent="0.2">
      <c r="A846" s="266"/>
      <c r="B846" s="156"/>
      <c r="C846" s="68"/>
      <c r="D846" s="157"/>
      <c r="E846" s="31"/>
      <c r="F846" s="46"/>
      <c r="G846" s="47"/>
    </row>
    <row r="847" spans="1:7" x14ac:dyDescent="0.2">
      <c r="A847" s="266"/>
      <c r="B847" s="156"/>
      <c r="C847" s="68"/>
      <c r="D847" s="157"/>
      <c r="E847" s="31"/>
      <c r="F847" s="46"/>
      <c r="G847" s="47"/>
    </row>
    <row r="848" spans="1:7" x14ac:dyDescent="0.2">
      <c r="A848" s="266"/>
      <c r="B848" s="156"/>
      <c r="C848" s="68"/>
      <c r="D848" s="157"/>
      <c r="E848" s="31"/>
      <c r="F848" s="46"/>
      <c r="G848" s="47"/>
    </row>
    <row r="849" spans="1:7" ht="12.75" thickBot="1" x14ac:dyDescent="0.25">
      <c r="A849" s="266"/>
      <c r="B849" s="156"/>
      <c r="C849" s="68"/>
      <c r="D849" s="157"/>
      <c r="E849" s="31"/>
      <c r="F849" s="46"/>
      <c r="G849" s="47"/>
    </row>
    <row r="850" spans="1:7" x14ac:dyDescent="0.2">
      <c r="A850" s="55"/>
      <c r="B850" s="56" t="s">
        <v>182</v>
      </c>
      <c r="C850" s="92"/>
      <c r="D850" s="58"/>
      <c r="E850" s="59"/>
      <c r="F850" s="159"/>
      <c r="G850" s="160"/>
    </row>
    <row r="851" spans="1:7" ht="12.75" thickBot="1" x14ac:dyDescent="0.25">
      <c r="A851" s="60"/>
      <c r="B851" s="61" t="s">
        <v>116</v>
      </c>
      <c r="C851" s="93"/>
      <c r="D851" s="63"/>
      <c r="E851" s="64"/>
      <c r="F851" s="125"/>
      <c r="G851" s="161">
        <f>SUM(G778:G850)</f>
        <v>0</v>
      </c>
    </row>
    <row r="852" spans="1:7" x14ac:dyDescent="0.2">
      <c r="A852" s="111"/>
      <c r="B852" s="168"/>
      <c r="C852" s="113"/>
      <c r="D852" s="77"/>
      <c r="E852" s="78"/>
      <c r="F852" s="46"/>
      <c r="G852" s="47"/>
    </row>
    <row r="853" spans="1:7" x14ac:dyDescent="0.2">
      <c r="A853" s="27"/>
      <c r="B853" s="28" t="s">
        <v>117</v>
      </c>
      <c r="C853" s="43"/>
      <c r="D853" s="44"/>
      <c r="E853" s="31"/>
      <c r="F853" s="46"/>
      <c r="G853" s="47"/>
    </row>
    <row r="854" spans="1:7" x14ac:dyDescent="0.2">
      <c r="A854" s="27"/>
      <c r="B854" s="36" t="s">
        <v>89</v>
      </c>
      <c r="C854" s="43"/>
      <c r="D854" s="44"/>
      <c r="E854" s="31"/>
      <c r="F854" s="46"/>
      <c r="G854" s="47"/>
    </row>
    <row r="855" spans="1:7" x14ac:dyDescent="0.2">
      <c r="A855" s="271" t="s">
        <v>119</v>
      </c>
      <c r="B855" s="80" t="s">
        <v>40</v>
      </c>
      <c r="C855" s="43"/>
      <c r="D855" s="44"/>
      <c r="E855" s="272"/>
      <c r="F855" s="46"/>
      <c r="G855" s="47"/>
    </row>
    <row r="856" spans="1:7" ht="27.75" customHeight="1" x14ac:dyDescent="0.2">
      <c r="A856" s="273"/>
      <c r="B856" s="378" t="s">
        <v>245</v>
      </c>
      <c r="C856" s="379"/>
      <c r="D856" s="379"/>
      <c r="E856" s="379"/>
      <c r="F856" s="380"/>
      <c r="G856" s="164"/>
    </row>
    <row r="857" spans="1:7" ht="29.25" customHeight="1" x14ac:dyDescent="0.2">
      <c r="A857" s="273"/>
      <c r="B857" s="381" t="s">
        <v>246</v>
      </c>
      <c r="C857" s="382"/>
      <c r="D857" s="382"/>
      <c r="E857" s="382"/>
      <c r="F857" s="383"/>
      <c r="G857" s="164"/>
    </row>
    <row r="858" spans="1:7" ht="41.25" customHeight="1" x14ac:dyDescent="0.2">
      <c r="A858" s="273"/>
      <c r="B858" s="381" t="s">
        <v>244</v>
      </c>
      <c r="C858" s="382"/>
      <c r="D858" s="382"/>
      <c r="E858" s="382"/>
      <c r="F858" s="383"/>
      <c r="G858" s="164"/>
    </row>
    <row r="859" spans="1:7" ht="26.25" customHeight="1" x14ac:dyDescent="0.2">
      <c r="A859" s="274"/>
      <c r="B859" s="381" t="s">
        <v>332</v>
      </c>
      <c r="C859" s="382"/>
      <c r="D859" s="382"/>
      <c r="E859" s="382"/>
      <c r="F859" s="383"/>
      <c r="G859" s="164"/>
    </row>
    <row r="860" spans="1:7" ht="15.75" customHeight="1" x14ac:dyDescent="0.2">
      <c r="A860" s="273"/>
      <c r="B860" s="369" t="s">
        <v>331</v>
      </c>
      <c r="C860" s="370"/>
      <c r="D860" s="370"/>
      <c r="E860" s="370"/>
      <c r="F860" s="371"/>
      <c r="G860" s="164"/>
    </row>
    <row r="861" spans="1:7" ht="17.25" customHeight="1" x14ac:dyDescent="0.2">
      <c r="A861" s="273"/>
      <c r="B861" s="372" t="s">
        <v>328</v>
      </c>
      <c r="C861" s="373"/>
      <c r="D861" s="373"/>
      <c r="E861" s="373"/>
      <c r="F861" s="374"/>
      <c r="G861" s="164"/>
    </row>
    <row r="862" spans="1:7" ht="12" customHeight="1" x14ac:dyDescent="0.2">
      <c r="A862" s="273"/>
      <c r="B862" s="275"/>
      <c r="C862" s="163"/>
      <c r="D862" s="163"/>
      <c r="E862" s="163"/>
      <c r="F862" s="163"/>
      <c r="G862" s="164"/>
    </row>
    <row r="863" spans="1:7" x14ac:dyDescent="0.2">
      <c r="A863" s="276" t="s">
        <v>140</v>
      </c>
      <c r="B863" s="277" t="s">
        <v>56</v>
      </c>
      <c r="C863" s="278"/>
      <c r="D863" s="279"/>
      <c r="E863" s="280"/>
      <c r="F863" s="281"/>
      <c r="G863" s="282"/>
    </row>
    <row r="864" spans="1:7" x14ac:dyDescent="0.2">
      <c r="A864" s="312" t="s">
        <v>153</v>
      </c>
      <c r="B864" s="313" t="s">
        <v>196</v>
      </c>
      <c r="C864" s="302"/>
      <c r="D864" s="303"/>
      <c r="E864" s="176"/>
      <c r="F864" s="149"/>
      <c r="G864" s="185">
        <f>D864*E864</f>
        <v>0</v>
      </c>
    </row>
    <row r="865" spans="1:7" ht="25.5" customHeight="1" x14ac:dyDescent="0.2">
      <c r="A865" s="314" t="s">
        <v>172</v>
      </c>
      <c r="B865" s="315" t="s">
        <v>387</v>
      </c>
      <c r="C865" s="316" t="s">
        <v>8</v>
      </c>
      <c r="D865" s="317">
        <v>1</v>
      </c>
      <c r="E865" s="283"/>
      <c r="F865" s="283"/>
      <c r="G865" s="284">
        <f>+D865*E865+D865*F865</f>
        <v>0</v>
      </c>
    </row>
    <row r="866" spans="1:7" ht="36.75" customHeight="1" x14ac:dyDescent="0.2">
      <c r="A866" s="314" t="s">
        <v>173</v>
      </c>
      <c r="B866" s="318" t="s">
        <v>356</v>
      </c>
      <c r="C866" s="316" t="s">
        <v>8</v>
      </c>
      <c r="D866" s="317">
        <v>2</v>
      </c>
      <c r="E866" s="176"/>
      <c r="F866" s="283"/>
      <c r="G866" s="284">
        <f t="shared" ref="G866:G894" si="156">+D866*E866+D866*F866</f>
        <v>0</v>
      </c>
    </row>
    <row r="867" spans="1:7" x14ac:dyDescent="0.2">
      <c r="A867" s="312" t="s">
        <v>154</v>
      </c>
      <c r="B867" s="313" t="s">
        <v>197</v>
      </c>
      <c r="C867" s="319"/>
      <c r="D867" s="320"/>
      <c r="E867" s="176"/>
      <c r="F867" s="283"/>
      <c r="G867" s="285">
        <f t="shared" si="156"/>
        <v>0</v>
      </c>
    </row>
    <row r="868" spans="1:7" x14ac:dyDescent="0.2">
      <c r="A868" s="314"/>
      <c r="B868" s="318" t="s">
        <v>284</v>
      </c>
      <c r="C868" s="302" t="s">
        <v>8</v>
      </c>
      <c r="D868" s="303">
        <v>56</v>
      </c>
      <c r="E868" s="176"/>
      <c r="F868" s="283"/>
      <c r="G868" s="285">
        <f t="shared" ref="G868" si="157">+D868*E868+D868*F868</f>
        <v>0</v>
      </c>
    </row>
    <row r="869" spans="1:7" x14ac:dyDescent="0.2">
      <c r="A869" s="314"/>
      <c r="B869" s="318" t="s">
        <v>488</v>
      </c>
      <c r="C869" s="302" t="s">
        <v>8</v>
      </c>
      <c r="D869" s="303">
        <v>1</v>
      </c>
      <c r="E869" s="176"/>
      <c r="F869" s="283"/>
      <c r="G869" s="285">
        <f t="shared" ref="G869" si="158">+D869*E869+D869*F869</f>
        <v>0</v>
      </c>
    </row>
    <row r="870" spans="1:7" x14ac:dyDescent="0.2">
      <c r="A870" s="314"/>
      <c r="B870" s="318" t="s">
        <v>285</v>
      </c>
      <c r="C870" s="302" t="s">
        <v>8</v>
      </c>
      <c r="D870" s="303">
        <v>29</v>
      </c>
      <c r="E870" s="176"/>
      <c r="F870" s="283"/>
      <c r="G870" s="285">
        <f t="shared" ref="G870" si="159">+D870*E870+D870*F870</f>
        <v>0</v>
      </c>
    </row>
    <row r="871" spans="1:7" x14ac:dyDescent="0.2">
      <c r="A871" s="314"/>
      <c r="B871" s="318" t="s">
        <v>248</v>
      </c>
      <c r="C871" s="302" t="s">
        <v>8</v>
      </c>
      <c r="D871" s="303">
        <v>6</v>
      </c>
      <c r="E871" s="176"/>
      <c r="F871" s="283"/>
      <c r="G871" s="285">
        <f t="shared" ref="G871" si="160">+D871*E871+D871*F871</f>
        <v>0</v>
      </c>
    </row>
    <row r="872" spans="1:7" x14ac:dyDescent="0.2">
      <c r="A872" s="314"/>
      <c r="B872" s="318" t="s">
        <v>489</v>
      </c>
      <c r="C872" s="302" t="s">
        <v>8</v>
      </c>
      <c r="D872" s="303">
        <v>10</v>
      </c>
      <c r="E872" s="176"/>
      <c r="F872" s="283"/>
      <c r="G872" s="285">
        <f t="shared" ref="G872" si="161">+D872*E872+D872*F872</f>
        <v>0</v>
      </c>
    </row>
    <row r="873" spans="1:7" x14ac:dyDescent="0.2">
      <c r="A873" s="314"/>
      <c r="B873" s="318" t="s">
        <v>236</v>
      </c>
      <c r="C873" s="302" t="s">
        <v>8</v>
      </c>
      <c r="D873" s="303">
        <v>28</v>
      </c>
      <c r="E873" s="176"/>
      <c r="F873" s="283"/>
      <c r="G873" s="285">
        <f t="shared" si="156"/>
        <v>0</v>
      </c>
    </row>
    <row r="874" spans="1:7" x14ac:dyDescent="0.2">
      <c r="A874" s="314"/>
      <c r="B874" s="318" t="s">
        <v>320</v>
      </c>
      <c r="C874" s="302" t="s">
        <v>8</v>
      </c>
      <c r="D874" s="303">
        <v>2</v>
      </c>
      <c r="E874" s="176"/>
      <c r="F874" s="283"/>
      <c r="G874" s="285">
        <f t="shared" si="156"/>
        <v>0</v>
      </c>
    </row>
    <row r="875" spans="1:7" x14ac:dyDescent="0.2">
      <c r="A875" s="314"/>
      <c r="B875" s="318" t="s">
        <v>388</v>
      </c>
      <c r="C875" s="316" t="s">
        <v>8</v>
      </c>
      <c r="D875" s="317">
        <v>48</v>
      </c>
      <c r="E875" s="176"/>
      <c r="F875" s="283"/>
      <c r="G875" s="285">
        <f t="shared" ref="G875:G878" si="162">+D875*E875+D875*F875</f>
        <v>0</v>
      </c>
    </row>
    <row r="876" spans="1:7" x14ac:dyDescent="0.2">
      <c r="A876" s="314"/>
      <c r="B876" s="318" t="s">
        <v>389</v>
      </c>
      <c r="C876" s="316" t="s">
        <v>8</v>
      </c>
      <c r="D876" s="317">
        <v>24</v>
      </c>
      <c r="E876" s="176"/>
      <c r="F876" s="283"/>
      <c r="G876" s="285">
        <f t="shared" ref="G876" si="163">+D876*E876+D876*F876</f>
        <v>0</v>
      </c>
    </row>
    <row r="877" spans="1:7" x14ac:dyDescent="0.2">
      <c r="A877" s="314"/>
      <c r="B877" s="318" t="s">
        <v>286</v>
      </c>
      <c r="C877" s="316" t="s">
        <v>8</v>
      </c>
      <c r="D877" s="317">
        <v>18</v>
      </c>
      <c r="E877" s="176"/>
      <c r="F877" s="283"/>
      <c r="G877" s="285">
        <f t="shared" si="162"/>
        <v>0</v>
      </c>
    </row>
    <row r="878" spans="1:7" x14ac:dyDescent="0.2">
      <c r="A878" s="314"/>
      <c r="B878" s="318" t="s">
        <v>321</v>
      </c>
      <c r="C878" s="302" t="s">
        <v>8</v>
      </c>
      <c r="D878" s="303">
        <v>3</v>
      </c>
      <c r="E878" s="176"/>
      <c r="F878" s="283"/>
      <c r="G878" s="285">
        <f t="shared" si="162"/>
        <v>0</v>
      </c>
    </row>
    <row r="879" spans="1:7" x14ac:dyDescent="0.2">
      <c r="A879" s="314"/>
      <c r="B879" s="318" t="s">
        <v>287</v>
      </c>
      <c r="C879" s="302" t="s">
        <v>8</v>
      </c>
      <c r="D879" s="303">
        <v>5</v>
      </c>
      <c r="E879" s="176"/>
      <c r="F879" s="283"/>
      <c r="G879" s="285">
        <f t="shared" ref="G879:G881" si="164">+D879*E879+D879*F879</f>
        <v>0</v>
      </c>
    </row>
    <row r="880" spans="1:7" x14ac:dyDescent="0.2">
      <c r="A880" s="314"/>
      <c r="B880" s="318" t="s">
        <v>288</v>
      </c>
      <c r="C880" s="302" t="s">
        <v>8</v>
      </c>
      <c r="D880" s="303">
        <v>12</v>
      </c>
      <c r="E880" s="176"/>
      <c r="F880" s="283"/>
      <c r="G880" s="285">
        <f t="shared" si="164"/>
        <v>0</v>
      </c>
    </row>
    <row r="881" spans="1:7" x14ac:dyDescent="0.2">
      <c r="A881" s="314"/>
      <c r="B881" s="318" t="s">
        <v>289</v>
      </c>
      <c r="C881" s="302" t="s">
        <v>8</v>
      </c>
      <c r="D881" s="303">
        <v>13</v>
      </c>
      <c r="E881" s="176"/>
      <c r="F881" s="283"/>
      <c r="G881" s="285">
        <f t="shared" si="164"/>
        <v>0</v>
      </c>
    </row>
    <row r="882" spans="1:7" x14ac:dyDescent="0.2">
      <c r="A882" s="314"/>
      <c r="B882" s="318" t="s">
        <v>290</v>
      </c>
      <c r="C882" s="302" t="s">
        <v>8</v>
      </c>
      <c r="D882" s="303">
        <f>D873</f>
        <v>28</v>
      </c>
      <c r="E882" s="176"/>
      <c r="F882" s="283"/>
      <c r="G882" s="285">
        <f t="shared" si="156"/>
        <v>0</v>
      </c>
    </row>
    <row r="883" spans="1:7" x14ac:dyDescent="0.2">
      <c r="A883" s="314"/>
      <c r="B883" s="318" t="s">
        <v>291</v>
      </c>
      <c r="C883" s="302" t="s">
        <v>8</v>
      </c>
      <c r="D883" s="303">
        <v>6</v>
      </c>
      <c r="E883" s="176"/>
      <c r="F883" s="283"/>
      <c r="G883" s="285">
        <f t="shared" ref="G883" si="165">+D883*E883+D883*F883</f>
        <v>0</v>
      </c>
    </row>
    <row r="884" spans="1:7" x14ac:dyDescent="0.2">
      <c r="A884" s="314"/>
      <c r="B884" s="318" t="s">
        <v>391</v>
      </c>
      <c r="C884" s="302" t="s">
        <v>8</v>
      </c>
      <c r="D884" s="303">
        <v>6</v>
      </c>
      <c r="E884" s="176"/>
      <c r="F884" s="283"/>
      <c r="G884" s="285">
        <f t="shared" si="156"/>
        <v>0</v>
      </c>
    </row>
    <row r="885" spans="1:7" x14ac:dyDescent="0.2">
      <c r="A885" s="314"/>
      <c r="B885" s="318" t="s">
        <v>292</v>
      </c>
      <c r="C885" s="302" t="s">
        <v>8</v>
      </c>
      <c r="D885" s="303">
        <v>6</v>
      </c>
      <c r="E885" s="176"/>
      <c r="F885" s="283"/>
      <c r="G885" s="285">
        <f t="shared" ref="G885:G888" si="166">+D885*E885+D885*F885</f>
        <v>0</v>
      </c>
    </row>
    <row r="886" spans="1:7" x14ac:dyDescent="0.2">
      <c r="A886" s="314"/>
      <c r="B886" s="318" t="s">
        <v>490</v>
      </c>
      <c r="C886" s="302" t="s">
        <v>8</v>
      </c>
      <c r="D886" s="303">
        <v>6</v>
      </c>
      <c r="E886" s="176"/>
      <c r="F886" s="283"/>
      <c r="G886" s="285">
        <f t="shared" ref="G886" si="167">+D886*E886+D886*F886</f>
        <v>0</v>
      </c>
    </row>
    <row r="887" spans="1:7" x14ac:dyDescent="0.2">
      <c r="A887" s="314"/>
      <c r="B887" s="318" t="s">
        <v>293</v>
      </c>
      <c r="C887" s="302" t="s">
        <v>8</v>
      </c>
      <c r="D887" s="303">
        <v>12</v>
      </c>
      <c r="E887" s="176"/>
      <c r="F887" s="283"/>
      <c r="G887" s="285">
        <f t="shared" si="166"/>
        <v>0</v>
      </c>
    </row>
    <row r="888" spans="1:7" x14ac:dyDescent="0.2">
      <c r="A888" s="314"/>
      <c r="B888" s="318" t="s">
        <v>302</v>
      </c>
      <c r="C888" s="302" t="s">
        <v>8</v>
      </c>
      <c r="D888" s="303">
        <v>6</v>
      </c>
      <c r="E888" s="176"/>
      <c r="F888" s="283"/>
      <c r="G888" s="285">
        <f t="shared" si="166"/>
        <v>0</v>
      </c>
    </row>
    <row r="889" spans="1:7" x14ac:dyDescent="0.2">
      <c r="A889" s="312" t="s">
        <v>163</v>
      </c>
      <c r="B889" s="313" t="s">
        <v>198</v>
      </c>
      <c r="C889" s="319"/>
      <c r="D889" s="320"/>
      <c r="E889" s="176"/>
      <c r="F889" s="283"/>
      <c r="G889" s="285">
        <f t="shared" si="156"/>
        <v>0</v>
      </c>
    </row>
    <row r="890" spans="1:7" ht="13.5" x14ac:dyDescent="0.2">
      <c r="A890" s="27" t="s">
        <v>153</v>
      </c>
      <c r="B890" s="218" t="s">
        <v>350</v>
      </c>
      <c r="C890" s="248" t="s">
        <v>201</v>
      </c>
      <c r="D890" s="44">
        <f>D868+D869+D873+D871+D872+D870+D874</f>
        <v>132</v>
      </c>
      <c r="E890" s="31"/>
      <c r="F890" s="283"/>
      <c r="G890" s="285">
        <f t="shared" si="156"/>
        <v>0</v>
      </c>
    </row>
    <row r="891" spans="1:7" ht="13.5" x14ac:dyDescent="0.2">
      <c r="A891" s="27" t="s">
        <v>154</v>
      </c>
      <c r="B891" s="218" t="s">
        <v>351</v>
      </c>
      <c r="C891" s="248" t="s">
        <v>201</v>
      </c>
      <c r="D891" s="44">
        <f>D875+D876+D877</f>
        <v>90</v>
      </c>
      <c r="E891" s="31"/>
      <c r="F891" s="283"/>
      <c r="G891" s="285">
        <f t="shared" si="156"/>
        <v>0</v>
      </c>
    </row>
    <row r="892" spans="1:7" ht="13.5" x14ac:dyDescent="0.2">
      <c r="A892" s="27" t="s">
        <v>163</v>
      </c>
      <c r="B892" s="218" t="s">
        <v>352</v>
      </c>
      <c r="C892" s="248" t="s">
        <v>103</v>
      </c>
      <c r="D892" s="44">
        <v>2</v>
      </c>
      <c r="E892" s="31"/>
      <c r="F892" s="283"/>
      <c r="G892" s="285">
        <f t="shared" si="156"/>
        <v>0</v>
      </c>
    </row>
    <row r="893" spans="1:7" x14ac:dyDescent="0.2">
      <c r="A893" s="27" t="s">
        <v>164</v>
      </c>
      <c r="B893" s="218" t="s">
        <v>199</v>
      </c>
      <c r="C893" s="248" t="s">
        <v>103</v>
      </c>
      <c r="D893" s="44">
        <f>D885</f>
        <v>6</v>
      </c>
      <c r="E893" s="31"/>
      <c r="F893" s="283"/>
      <c r="G893" s="285">
        <f t="shared" si="156"/>
        <v>0</v>
      </c>
    </row>
    <row r="894" spans="1:7" x14ac:dyDescent="0.2">
      <c r="A894" s="27" t="s">
        <v>165</v>
      </c>
      <c r="B894" s="218" t="s">
        <v>200</v>
      </c>
      <c r="C894" s="248" t="s">
        <v>103</v>
      </c>
      <c r="D894" s="44">
        <f>D883</f>
        <v>6</v>
      </c>
      <c r="E894" s="31"/>
      <c r="F894" s="283"/>
      <c r="G894" s="285">
        <f t="shared" si="156"/>
        <v>0</v>
      </c>
    </row>
    <row r="895" spans="1:7" x14ac:dyDescent="0.2">
      <c r="A895" s="27" t="s">
        <v>166</v>
      </c>
      <c r="B895" s="218" t="s">
        <v>249</v>
      </c>
      <c r="C895" s="248" t="s">
        <v>103</v>
      </c>
      <c r="D895" s="44">
        <f>D884</f>
        <v>6</v>
      </c>
      <c r="E895" s="31"/>
      <c r="F895" s="283"/>
      <c r="G895" s="285">
        <f t="shared" ref="G895" si="168">+D895*E895+D895*F895</f>
        <v>0</v>
      </c>
    </row>
    <row r="896" spans="1:7" x14ac:dyDescent="0.2">
      <c r="A896" s="27" t="s">
        <v>167</v>
      </c>
      <c r="B896" s="218" t="s">
        <v>294</v>
      </c>
      <c r="C896" s="248" t="s">
        <v>103</v>
      </c>
      <c r="D896" s="44">
        <f>D885</f>
        <v>6</v>
      </c>
      <c r="E896" s="31"/>
      <c r="F896" s="283"/>
      <c r="G896" s="285">
        <f t="shared" ref="G896:G897" si="169">+D896*E896+D896*F896</f>
        <v>0</v>
      </c>
    </row>
    <row r="897" spans="1:7" x14ac:dyDescent="0.2">
      <c r="A897" s="27" t="s">
        <v>168</v>
      </c>
      <c r="B897" s="218" t="s">
        <v>295</v>
      </c>
      <c r="C897" s="248" t="s">
        <v>103</v>
      </c>
      <c r="D897" s="44">
        <f>D886</f>
        <v>6</v>
      </c>
      <c r="E897" s="31"/>
      <c r="F897" s="283"/>
      <c r="G897" s="285">
        <f t="shared" si="169"/>
        <v>0</v>
      </c>
    </row>
    <row r="898" spans="1:7" x14ac:dyDescent="0.2">
      <c r="A898" s="27"/>
      <c r="B898" s="218"/>
      <c r="C898" s="248"/>
      <c r="D898" s="44"/>
      <c r="E898" s="31"/>
      <c r="F898" s="283"/>
      <c r="G898" s="285"/>
    </row>
    <row r="899" spans="1:7" x14ac:dyDescent="0.2">
      <c r="A899" s="27"/>
      <c r="B899" s="218"/>
      <c r="C899" s="248"/>
      <c r="D899" s="44"/>
      <c r="E899" s="31"/>
      <c r="F899" s="283"/>
      <c r="G899" s="285"/>
    </row>
    <row r="900" spans="1:7" ht="12.75" thickBot="1" x14ac:dyDescent="0.25">
      <c r="A900" s="60"/>
      <c r="B900" s="338"/>
      <c r="C900" s="339"/>
      <c r="D900" s="63"/>
      <c r="E900" s="64"/>
      <c r="F900" s="286"/>
      <c r="G900" s="287"/>
    </row>
    <row r="901" spans="1:7" x14ac:dyDescent="0.2">
      <c r="A901" s="276" t="s">
        <v>141</v>
      </c>
      <c r="B901" s="277" t="s">
        <v>58</v>
      </c>
      <c r="C901" s="278"/>
      <c r="D901" s="279"/>
      <c r="E901" s="280"/>
      <c r="F901" s="281"/>
      <c r="G901" s="282"/>
    </row>
    <row r="902" spans="1:7" x14ac:dyDescent="0.2">
      <c r="A902" s="312" t="s">
        <v>153</v>
      </c>
      <c r="B902" s="313" t="s">
        <v>196</v>
      </c>
      <c r="C902" s="302"/>
      <c r="D902" s="303"/>
      <c r="E902" s="176"/>
      <c r="F902" s="149"/>
      <c r="G902" s="185">
        <f>D902*E902</f>
        <v>0</v>
      </c>
    </row>
    <row r="903" spans="1:7" ht="37.5" customHeight="1" x14ac:dyDescent="0.2">
      <c r="A903" s="314" t="s">
        <v>172</v>
      </c>
      <c r="B903" s="321" t="s">
        <v>357</v>
      </c>
      <c r="C903" s="316" t="s">
        <v>8</v>
      </c>
      <c r="D903" s="317">
        <v>2</v>
      </c>
      <c r="E903" s="176"/>
      <c r="F903" s="283"/>
      <c r="G903" s="284">
        <f t="shared" ref="G903:G934" si="170">+D903*E903+D903*F903</f>
        <v>0</v>
      </c>
    </row>
    <row r="904" spans="1:7" x14ac:dyDescent="0.2">
      <c r="A904" s="312" t="s">
        <v>154</v>
      </c>
      <c r="B904" s="313" t="s">
        <v>197</v>
      </c>
      <c r="C904" s="319"/>
      <c r="D904" s="320"/>
      <c r="E904" s="176"/>
      <c r="F904" s="283"/>
      <c r="G904" s="285">
        <f t="shared" si="170"/>
        <v>0</v>
      </c>
    </row>
    <row r="905" spans="1:7" x14ac:dyDescent="0.2">
      <c r="A905" s="314"/>
      <c r="B905" s="318" t="s">
        <v>284</v>
      </c>
      <c r="C905" s="302" t="s">
        <v>8</v>
      </c>
      <c r="D905" s="303">
        <v>16</v>
      </c>
      <c r="E905" s="176"/>
      <c r="F905" s="283"/>
      <c r="G905" s="285">
        <f t="shared" si="170"/>
        <v>0</v>
      </c>
    </row>
    <row r="906" spans="1:7" x14ac:dyDescent="0.2">
      <c r="A906" s="314"/>
      <c r="B906" s="318" t="s">
        <v>488</v>
      </c>
      <c r="C906" s="302" t="s">
        <v>8</v>
      </c>
      <c r="D906" s="303">
        <v>1</v>
      </c>
      <c r="E906" s="176"/>
      <c r="F906" s="283"/>
      <c r="G906" s="285">
        <f t="shared" si="170"/>
        <v>0</v>
      </c>
    </row>
    <row r="907" spans="1:7" x14ac:dyDescent="0.2">
      <c r="A907" s="314"/>
      <c r="B907" s="318" t="s">
        <v>285</v>
      </c>
      <c r="C907" s="302" t="s">
        <v>8</v>
      </c>
      <c r="D907" s="303">
        <v>11</v>
      </c>
      <c r="E907" s="176"/>
      <c r="F907" s="283"/>
      <c r="G907" s="285">
        <f t="shared" si="170"/>
        <v>0</v>
      </c>
    </row>
    <row r="908" spans="1:7" x14ac:dyDescent="0.2">
      <c r="A908" s="314"/>
      <c r="B908" s="318" t="s">
        <v>248</v>
      </c>
      <c r="C908" s="302" t="s">
        <v>8</v>
      </c>
      <c r="D908" s="303">
        <v>3</v>
      </c>
      <c r="E908" s="176"/>
      <c r="F908" s="283"/>
      <c r="G908" s="285">
        <f t="shared" si="170"/>
        <v>0</v>
      </c>
    </row>
    <row r="909" spans="1:7" x14ac:dyDescent="0.2">
      <c r="A909" s="314"/>
      <c r="B909" s="318" t="s">
        <v>236</v>
      </c>
      <c r="C909" s="302" t="s">
        <v>8</v>
      </c>
      <c r="D909" s="303">
        <v>8</v>
      </c>
      <c r="E909" s="176"/>
      <c r="F909" s="283"/>
      <c r="G909" s="285">
        <f t="shared" si="170"/>
        <v>0</v>
      </c>
    </row>
    <row r="910" spans="1:7" x14ac:dyDescent="0.2">
      <c r="A910" s="314"/>
      <c r="B910" s="318" t="s">
        <v>320</v>
      </c>
      <c r="C910" s="302" t="s">
        <v>8</v>
      </c>
      <c r="D910" s="303">
        <v>2</v>
      </c>
      <c r="E910" s="176"/>
      <c r="F910" s="283"/>
      <c r="G910" s="285">
        <f t="shared" si="170"/>
        <v>0</v>
      </c>
    </row>
    <row r="911" spans="1:7" x14ac:dyDescent="0.2">
      <c r="A911" s="314"/>
      <c r="B911" s="318" t="s">
        <v>388</v>
      </c>
      <c r="C911" s="316" t="s">
        <v>8</v>
      </c>
      <c r="D911" s="317">
        <v>22</v>
      </c>
      <c r="E911" s="176"/>
      <c r="F911" s="283"/>
      <c r="G911" s="285">
        <f t="shared" si="170"/>
        <v>0</v>
      </c>
    </row>
    <row r="912" spans="1:7" x14ac:dyDescent="0.2">
      <c r="A912" s="314"/>
      <c r="B912" s="318" t="s">
        <v>389</v>
      </c>
      <c r="C912" s="316" t="s">
        <v>8</v>
      </c>
      <c r="D912" s="317">
        <v>10</v>
      </c>
      <c r="E912" s="176"/>
      <c r="F912" s="283"/>
      <c r="G912" s="285">
        <f t="shared" si="170"/>
        <v>0</v>
      </c>
    </row>
    <row r="913" spans="1:7" x14ac:dyDescent="0.2">
      <c r="A913" s="314"/>
      <c r="B913" s="318" t="s">
        <v>286</v>
      </c>
      <c r="C913" s="316" t="s">
        <v>8</v>
      </c>
      <c r="D913" s="317">
        <v>6</v>
      </c>
      <c r="E913" s="176"/>
      <c r="F913" s="283"/>
      <c r="G913" s="285">
        <f t="shared" si="170"/>
        <v>0</v>
      </c>
    </row>
    <row r="914" spans="1:7" x14ac:dyDescent="0.2">
      <c r="A914" s="314"/>
      <c r="B914" s="318" t="s">
        <v>321</v>
      </c>
      <c r="C914" s="302" t="s">
        <v>8</v>
      </c>
      <c r="D914" s="303">
        <v>4</v>
      </c>
      <c r="E914" s="176"/>
      <c r="F914" s="283"/>
      <c r="G914" s="285">
        <f t="shared" si="170"/>
        <v>0</v>
      </c>
    </row>
    <row r="915" spans="1:7" x14ac:dyDescent="0.2">
      <c r="A915" s="314"/>
      <c r="B915" s="318" t="s">
        <v>492</v>
      </c>
      <c r="C915" s="302" t="s">
        <v>8</v>
      </c>
      <c r="D915" s="303">
        <v>8</v>
      </c>
      <c r="E915" s="176"/>
      <c r="F915" s="283"/>
      <c r="G915" s="285">
        <f t="shared" si="170"/>
        <v>0</v>
      </c>
    </row>
    <row r="916" spans="1:7" x14ac:dyDescent="0.2">
      <c r="A916" s="314"/>
      <c r="B916" s="318" t="s">
        <v>493</v>
      </c>
      <c r="C916" s="302" t="s">
        <v>8</v>
      </c>
      <c r="D916" s="303">
        <v>10</v>
      </c>
      <c r="E916" s="176"/>
      <c r="F916" s="283"/>
      <c r="G916" s="285">
        <f t="shared" si="170"/>
        <v>0</v>
      </c>
    </row>
    <row r="917" spans="1:7" x14ac:dyDescent="0.2">
      <c r="A917" s="314"/>
      <c r="B917" s="318" t="s">
        <v>289</v>
      </c>
      <c r="C917" s="302" t="s">
        <v>8</v>
      </c>
      <c r="D917" s="303">
        <v>4</v>
      </c>
      <c r="E917" s="176"/>
      <c r="F917" s="283"/>
      <c r="G917" s="285">
        <f t="shared" si="170"/>
        <v>0</v>
      </c>
    </row>
    <row r="918" spans="1:7" x14ac:dyDescent="0.2">
      <c r="A918" s="314"/>
      <c r="B918" s="318" t="s">
        <v>491</v>
      </c>
      <c r="C918" s="302" t="s">
        <v>8</v>
      </c>
      <c r="D918" s="303">
        <v>36</v>
      </c>
      <c r="E918" s="176"/>
      <c r="F918" s="283"/>
      <c r="G918" s="285">
        <f t="shared" si="170"/>
        <v>0</v>
      </c>
    </row>
    <row r="919" spans="1:7" x14ac:dyDescent="0.2">
      <c r="A919" s="314"/>
      <c r="B919" s="318" t="s">
        <v>291</v>
      </c>
      <c r="C919" s="302" t="s">
        <v>8</v>
      </c>
      <c r="D919" s="303">
        <v>2</v>
      </c>
      <c r="E919" s="176"/>
      <c r="F919" s="283"/>
      <c r="G919" s="285">
        <f t="shared" si="170"/>
        <v>0</v>
      </c>
    </row>
    <row r="920" spans="1:7" x14ac:dyDescent="0.2">
      <c r="A920" s="314"/>
      <c r="B920" s="318" t="s">
        <v>391</v>
      </c>
      <c r="C920" s="302" t="s">
        <v>8</v>
      </c>
      <c r="D920" s="303">
        <v>4</v>
      </c>
      <c r="E920" s="176"/>
      <c r="F920" s="283"/>
      <c r="G920" s="285">
        <f t="shared" si="170"/>
        <v>0</v>
      </c>
    </row>
    <row r="921" spans="1:7" x14ac:dyDescent="0.2">
      <c r="A921" s="314"/>
      <c r="B921" s="318" t="s">
        <v>292</v>
      </c>
      <c r="C921" s="302" t="s">
        <v>8</v>
      </c>
      <c r="D921" s="303">
        <v>2</v>
      </c>
      <c r="E921" s="176"/>
      <c r="F921" s="283"/>
      <c r="G921" s="285">
        <f t="shared" si="170"/>
        <v>0</v>
      </c>
    </row>
    <row r="922" spans="1:7" x14ac:dyDescent="0.2">
      <c r="A922" s="314"/>
      <c r="B922" s="318" t="s">
        <v>390</v>
      </c>
      <c r="C922" s="302" t="s">
        <v>8</v>
      </c>
      <c r="D922" s="303">
        <v>4</v>
      </c>
      <c r="E922" s="176"/>
      <c r="F922" s="283"/>
      <c r="G922" s="285">
        <f t="shared" si="170"/>
        <v>0</v>
      </c>
    </row>
    <row r="923" spans="1:7" x14ac:dyDescent="0.2">
      <c r="A923" s="314"/>
      <c r="B923" s="318" t="s">
        <v>490</v>
      </c>
      <c r="C923" s="302" t="s">
        <v>8</v>
      </c>
      <c r="D923" s="303">
        <v>2</v>
      </c>
      <c r="E923" s="176"/>
      <c r="F923" s="283"/>
      <c r="G923" s="285">
        <f t="shared" si="170"/>
        <v>0</v>
      </c>
    </row>
    <row r="924" spans="1:7" x14ac:dyDescent="0.2">
      <c r="A924" s="314"/>
      <c r="B924" s="318" t="s">
        <v>293</v>
      </c>
      <c r="C924" s="302" t="s">
        <v>8</v>
      </c>
      <c r="D924" s="303">
        <v>4</v>
      </c>
      <c r="E924" s="176"/>
      <c r="F924" s="283"/>
      <c r="G924" s="285">
        <f t="shared" si="170"/>
        <v>0</v>
      </c>
    </row>
    <row r="925" spans="1:7" x14ac:dyDescent="0.2">
      <c r="A925" s="314"/>
      <c r="B925" s="318" t="s">
        <v>302</v>
      </c>
      <c r="C925" s="302" t="s">
        <v>8</v>
      </c>
      <c r="D925" s="303">
        <v>2</v>
      </c>
      <c r="E925" s="176"/>
      <c r="F925" s="283"/>
      <c r="G925" s="285">
        <f t="shared" si="170"/>
        <v>0</v>
      </c>
    </row>
    <row r="926" spans="1:7" x14ac:dyDescent="0.2">
      <c r="A926" s="312" t="s">
        <v>163</v>
      </c>
      <c r="B926" s="313" t="s">
        <v>198</v>
      </c>
      <c r="C926" s="319"/>
      <c r="D926" s="320"/>
      <c r="E926" s="176"/>
      <c r="F926" s="283"/>
      <c r="G926" s="285">
        <f t="shared" si="170"/>
        <v>0</v>
      </c>
    </row>
    <row r="927" spans="1:7" ht="13.5" x14ac:dyDescent="0.2">
      <c r="A927" s="27"/>
      <c r="B927" s="218" t="s">
        <v>350</v>
      </c>
      <c r="C927" s="248" t="s">
        <v>201</v>
      </c>
      <c r="D927" s="44">
        <f>D905+D906+D909+D908+D907+D910</f>
        <v>41</v>
      </c>
      <c r="E927" s="31"/>
      <c r="F927" s="283"/>
      <c r="G927" s="285">
        <f t="shared" si="170"/>
        <v>0</v>
      </c>
    </row>
    <row r="928" spans="1:7" ht="13.5" x14ac:dyDescent="0.2">
      <c r="A928" s="27"/>
      <c r="B928" s="218" t="s">
        <v>351</v>
      </c>
      <c r="C928" s="248" t="s">
        <v>201</v>
      </c>
      <c r="D928" s="44">
        <f>D911+D912+D913</f>
        <v>38</v>
      </c>
      <c r="E928" s="31"/>
      <c r="F928" s="283"/>
      <c r="G928" s="285">
        <f t="shared" si="170"/>
        <v>0</v>
      </c>
    </row>
    <row r="929" spans="1:7" ht="13.5" x14ac:dyDescent="0.2">
      <c r="A929" s="27"/>
      <c r="B929" s="218" t="s">
        <v>352</v>
      </c>
      <c r="C929" s="248" t="s">
        <v>103</v>
      </c>
      <c r="D929" s="44">
        <v>2</v>
      </c>
      <c r="E929" s="31"/>
      <c r="F929" s="283"/>
      <c r="G929" s="285">
        <f t="shared" si="170"/>
        <v>0</v>
      </c>
    </row>
    <row r="930" spans="1:7" x14ac:dyDescent="0.2">
      <c r="A930" s="27"/>
      <c r="B930" s="218" t="s">
        <v>199</v>
      </c>
      <c r="C930" s="248" t="s">
        <v>103</v>
      </c>
      <c r="D930" s="44">
        <f>D921</f>
        <v>2</v>
      </c>
      <c r="E930" s="31"/>
      <c r="F930" s="283"/>
      <c r="G930" s="285">
        <f t="shared" si="170"/>
        <v>0</v>
      </c>
    </row>
    <row r="931" spans="1:7" x14ac:dyDescent="0.2">
      <c r="A931" s="27"/>
      <c r="B931" s="218" t="s">
        <v>200</v>
      </c>
      <c r="C931" s="248" t="s">
        <v>103</v>
      </c>
      <c r="D931" s="44">
        <f>D919</f>
        <v>2</v>
      </c>
      <c r="E931" s="31"/>
      <c r="F931" s="283"/>
      <c r="G931" s="285">
        <f t="shared" si="170"/>
        <v>0</v>
      </c>
    </row>
    <row r="932" spans="1:7" x14ac:dyDescent="0.2">
      <c r="A932" s="27"/>
      <c r="B932" s="218" t="s">
        <v>249</v>
      </c>
      <c r="C932" s="248" t="s">
        <v>103</v>
      </c>
      <c r="D932" s="44">
        <f>D920</f>
        <v>4</v>
      </c>
      <c r="E932" s="31"/>
      <c r="F932" s="283"/>
      <c r="G932" s="285">
        <f t="shared" si="170"/>
        <v>0</v>
      </c>
    </row>
    <row r="933" spans="1:7" x14ac:dyDescent="0.2">
      <c r="A933" s="27"/>
      <c r="B933" s="218" t="s">
        <v>294</v>
      </c>
      <c r="C933" s="248" t="s">
        <v>103</v>
      </c>
      <c r="D933" s="44">
        <f t="shared" ref="D933" si="171">D921</f>
        <v>2</v>
      </c>
      <c r="E933" s="31"/>
      <c r="F933" s="283"/>
      <c r="G933" s="285">
        <f t="shared" si="170"/>
        <v>0</v>
      </c>
    </row>
    <row r="934" spans="1:7" x14ac:dyDescent="0.2">
      <c r="A934" s="27"/>
      <c r="B934" s="218" t="s">
        <v>295</v>
      </c>
      <c r="C934" s="248" t="s">
        <v>103</v>
      </c>
      <c r="D934" s="44">
        <f>D922+D923</f>
        <v>6</v>
      </c>
      <c r="E934" s="31"/>
      <c r="F934" s="283"/>
      <c r="G934" s="285">
        <f t="shared" si="170"/>
        <v>0</v>
      </c>
    </row>
    <row r="935" spans="1:7" x14ac:dyDescent="0.2">
      <c r="A935" s="276" t="s">
        <v>51</v>
      </c>
      <c r="B935" s="277" t="s">
        <v>60</v>
      </c>
      <c r="C935" s="278"/>
      <c r="D935" s="279"/>
      <c r="E935" s="280"/>
      <c r="F935" s="281"/>
      <c r="G935" s="282"/>
    </row>
    <row r="936" spans="1:7" x14ac:dyDescent="0.2">
      <c r="A936" s="312" t="s">
        <v>153</v>
      </c>
      <c r="B936" s="313" t="s">
        <v>196</v>
      </c>
      <c r="C936" s="302"/>
      <c r="D936" s="303"/>
      <c r="E936" s="176"/>
      <c r="F936" s="149"/>
      <c r="G936" s="185">
        <f>D936*E936</f>
        <v>0</v>
      </c>
    </row>
    <row r="937" spans="1:7" ht="36.75" customHeight="1" x14ac:dyDescent="0.2">
      <c r="A937" s="314" t="s">
        <v>172</v>
      </c>
      <c r="B937" s="321" t="s">
        <v>357</v>
      </c>
      <c r="C937" s="316" t="s">
        <v>8</v>
      </c>
      <c r="D937" s="317">
        <v>2</v>
      </c>
      <c r="E937" s="176"/>
      <c r="F937" s="283"/>
      <c r="G937" s="284">
        <f t="shared" ref="G937:G965" si="172">+D937*E937+D937*F937</f>
        <v>0</v>
      </c>
    </row>
    <row r="938" spans="1:7" x14ac:dyDescent="0.2">
      <c r="A938" s="312" t="s">
        <v>154</v>
      </c>
      <c r="B938" s="313" t="s">
        <v>197</v>
      </c>
      <c r="C938" s="319"/>
      <c r="D938" s="320"/>
      <c r="E938" s="176"/>
      <c r="F938" s="283"/>
      <c r="G938" s="285">
        <f t="shared" si="172"/>
        <v>0</v>
      </c>
    </row>
    <row r="939" spans="1:7" x14ac:dyDescent="0.2">
      <c r="A939" s="314"/>
      <c r="B939" s="318" t="s">
        <v>284</v>
      </c>
      <c r="C939" s="302" t="s">
        <v>8</v>
      </c>
      <c r="D939" s="303">
        <v>56</v>
      </c>
      <c r="E939" s="176"/>
      <c r="F939" s="283"/>
      <c r="G939" s="285">
        <f t="shared" si="172"/>
        <v>0</v>
      </c>
    </row>
    <row r="940" spans="1:7" x14ac:dyDescent="0.2">
      <c r="A940" s="314"/>
      <c r="B940" s="318" t="s">
        <v>488</v>
      </c>
      <c r="C940" s="302" t="s">
        <v>8</v>
      </c>
      <c r="D940" s="303">
        <v>1</v>
      </c>
      <c r="E940" s="176"/>
      <c r="F940" s="283"/>
      <c r="G940" s="285">
        <f t="shared" si="172"/>
        <v>0</v>
      </c>
    </row>
    <row r="941" spans="1:7" x14ac:dyDescent="0.2">
      <c r="A941" s="314"/>
      <c r="B941" s="318" t="s">
        <v>285</v>
      </c>
      <c r="C941" s="302" t="s">
        <v>8</v>
      </c>
      <c r="D941" s="303">
        <v>4</v>
      </c>
      <c r="E941" s="176"/>
      <c r="F941" s="283"/>
      <c r="G941" s="285">
        <f t="shared" si="172"/>
        <v>0</v>
      </c>
    </row>
    <row r="942" spans="1:7" x14ac:dyDescent="0.2">
      <c r="A942" s="314"/>
      <c r="B942" s="318" t="s">
        <v>236</v>
      </c>
      <c r="C942" s="302" t="s">
        <v>8</v>
      </c>
      <c r="D942" s="303">
        <v>36</v>
      </c>
      <c r="E942" s="176"/>
      <c r="F942" s="283"/>
      <c r="G942" s="285">
        <f t="shared" si="172"/>
        <v>0</v>
      </c>
    </row>
    <row r="943" spans="1:7" x14ac:dyDescent="0.2">
      <c r="A943" s="314"/>
      <c r="B943" s="318" t="s">
        <v>388</v>
      </c>
      <c r="C943" s="316" t="s">
        <v>8</v>
      </c>
      <c r="D943" s="317">
        <v>12</v>
      </c>
      <c r="E943" s="176"/>
      <c r="F943" s="283"/>
      <c r="G943" s="285">
        <f t="shared" si="172"/>
        <v>0</v>
      </c>
    </row>
    <row r="944" spans="1:7" x14ac:dyDescent="0.2">
      <c r="A944" s="314"/>
      <c r="B944" s="318" t="s">
        <v>389</v>
      </c>
      <c r="C944" s="316" t="s">
        <v>8</v>
      </c>
      <c r="D944" s="317">
        <v>10</v>
      </c>
      <c r="E944" s="176"/>
      <c r="F944" s="283"/>
      <c r="G944" s="285">
        <f t="shared" si="172"/>
        <v>0</v>
      </c>
    </row>
    <row r="945" spans="1:7" x14ac:dyDescent="0.2">
      <c r="A945" s="314"/>
      <c r="B945" s="318" t="s">
        <v>286</v>
      </c>
      <c r="C945" s="316" t="s">
        <v>8</v>
      </c>
      <c r="D945" s="317">
        <v>6</v>
      </c>
      <c r="E945" s="176"/>
      <c r="F945" s="283"/>
      <c r="G945" s="285">
        <f t="shared" si="172"/>
        <v>0</v>
      </c>
    </row>
    <row r="946" spans="1:7" x14ac:dyDescent="0.2">
      <c r="A946" s="314"/>
      <c r="B946" s="318" t="s">
        <v>321</v>
      </c>
      <c r="C946" s="302" t="s">
        <v>8</v>
      </c>
      <c r="D946" s="303">
        <v>1</v>
      </c>
      <c r="E946" s="176"/>
      <c r="F946" s="283"/>
      <c r="G946" s="285">
        <f t="shared" si="172"/>
        <v>0</v>
      </c>
    </row>
    <row r="947" spans="1:7" x14ac:dyDescent="0.2">
      <c r="A947" s="314"/>
      <c r="B947" s="318" t="s">
        <v>289</v>
      </c>
      <c r="C947" s="302" t="s">
        <v>8</v>
      </c>
      <c r="D947" s="303">
        <v>6</v>
      </c>
      <c r="E947" s="176"/>
      <c r="F947" s="283"/>
      <c r="G947" s="285">
        <f t="shared" si="172"/>
        <v>0</v>
      </c>
    </row>
    <row r="948" spans="1:7" x14ac:dyDescent="0.2">
      <c r="A948" s="314"/>
      <c r="B948" s="318" t="s">
        <v>290</v>
      </c>
      <c r="C948" s="302" t="s">
        <v>8</v>
      </c>
      <c r="D948" s="303">
        <v>8</v>
      </c>
      <c r="E948" s="176"/>
      <c r="F948" s="283"/>
      <c r="G948" s="285">
        <f t="shared" si="172"/>
        <v>0</v>
      </c>
    </row>
    <row r="949" spans="1:7" x14ac:dyDescent="0.2">
      <c r="A949" s="314"/>
      <c r="B949" s="318" t="s">
        <v>291</v>
      </c>
      <c r="C949" s="302" t="s">
        <v>8</v>
      </c>
      <c r="D949" s="303">
        <v>2</v>
      </c>
      <c r="E949" s="176"/>
      <c r="F949" s="283"/>
      <c r="G949" s="285">
        <f t="shared" si="172"/>
        <v>0</v>
      </c>
    </row>
    <row r="950" spans="1:7" x14ac:dyDescent="0.2">
      <c r="A950" s="314"/>
      <c r="B950" s="318" t="s">
        <v>391</v>
      </c>
      <c r="C950" s="302" t="s">
        <v>8</v>
      </c>
      <c r="D950" s="303">
        <v>2</v>
      </c>
      <c r="E950" s="176"/>
      <c r="F950" s="283"/>
      <c r="G950" s="285">
        <f t="shared" si="172"/>
        <v>0</v>
      </c>
    </row>
    <row r="951" spans="1:7" x14ac:dyDescent="0.2">
      <c r="A951" s="314"/>
      <c r="B951" s="318" t="s">
        <v>292</v>
      </c>
      <c r="C951" s="302" t="s">
        <v>8</v>
      </c>
      <c r="D951" s="303">
        <v>2</v>
      </c>
      <c r="E951" s="176"/>
      <c r="F951" s="283"/>
      <c r="G951" s="285">
        <f t="shared" si="172"/>
        <v>0</v>
      </c>
    </row>
    <row r="952" spans="1:7" x14ac:dyDescent="0.2">
      <c r="A952" s="314"/>
      <c r="B952" s="318" t="s">
        <v>490</v>
      </c>
      <c r="C952" s="302" t="s">
        <v>8</v>
      </c>
      <c r="D952" s="303">
        <v>2</v>
      </c>
      <c r="E952" s="176"/>
      <c r="F952" s="283"/>
      <c r="G952" s="285">
        <f t="shared" si="172"/>
        <v>0</v>
      </c>
    </row>
    <row r="953" spans="1:7" x14ac:dyDescent="0.2">
      <c r="A953" s="314"/>
      <c r="B953" s="318" t="s">
        <v>293</v>
      </c>
      <c r="C953" s="302" t="s">
        <v>8</v>
      </c>
      <c r="D953" s="303">
        <v>4</v>
      </c>
      <c r="E953" s="176"/>
      <c r="F953" s="283"/>
      <c r="G953" s="285">
        <f t="shared" si="172"/>
        <v>0</v>
      </c>
    </row>
    <row r="954" spans="1:7" x14ac:dyDescent="0.2">
      <c r="A954" s="314"/>
      <c r="B954" s="318" t="s">
        <v>302</v>
      </c>
      <c r="C954" s="302" t="s">
        <v>8</v>
      </c>
      <c r="D954" s="303">
        <v>2</v>
      </c>
      <c r="E954" s="176"/>
      <c r="F954" s="283"/>
      <c r="G954" s="285">
        <f t="shared" si="172"/>
        <v>0</v>
      </c>
    </row>
    <row r="955" spans="1:7" ht="12.75" thickBot="1" x14ac:dyDescent="0.25">
      <c r="A955" s="358"/>
      <c r="B955" s="359"/>
      <c r="C955" s="310"/>
      <c r="D955" s="311"/>
      <c r="E955" s="360"/>
      <c r="F955" s="286"/>
      <c r="G955" s="287"/>
    </row>
    <row r="956" spans="1:7" x14ac:dyDescent="0.2">
      <c r="A956" s="314"/>
      <c r="B956" s="318"/>
      <c r="C956" s="302"/>
      <c r="D956" s="303"/>
      <c r="E956" s="176"/>
      <c r="F956" s="283"/>
      <c r="G956" s="285"/>
    </row>
    <row r="957" spans="1:7" x14ac:dyDescent="0.2">
      <c r="A957" s="312" t="s">
        <v>163</v>
      </c>
      <c r="B957" s="313" t="s">
        <v>198</v>
      </c>
      <c r="C957" s="319"/>
      <c r="D957" s="320"/>
      <c r="E957" s="176"/>
      <c r="F957" s="283"/>
      <c r="G957" s="285">
        <f t="shared" si="172"/>
        <v>0</v>
      </c>
    </row>
    <row r="958" spans="1:7" ht="13.5" x14ac:dyDescent="0.2">
      <c r="A958" s="27"/>
      <c r="B958" s="218" t="s">
        <v>350</v>
      </c>
      <c r="C958" s="248" t="s">
        <v>201</v>
      </c>
      <c r="D958" s="44">
        <f>D939+D940+D942+D941</f>
        <v>97</v>
      </c>
      <c r="E958" s="31"/>
      <c r="F958" s="283"/>
      <c r="G958" s="285">
        <f t="shared" si="172"/>
        <v>0</v>
      </c>
    </row>
    <row r="959" spans="1:7" ht="13.5" x14ac:dyDescent="0.2">
      <c r="A959" s="27"/>
      <c r="B959" s="218" t="s">
        <v>351</v>
      </c>
      <c r="C959" s="248" t="s">
        <v>201</v>
      </c>
      <c r="D959" s="44">
        <f>D943+D944+D945</f>
        <v>28</v>
      </c>
      <c r="E959" s="31"/>
      <c r="F959" s="283"/>
      <c r="G959" s="285">
        <f t="shared" si="172"/>
        <v>0</v>
      </c>
    </row>
    <row r="960" spans="1:7" ht="13.5" x14ac:dyDescent="0.2">
      <c r="A960" s="27"/>
      <c r="B960" s="218" t="s">
        <v>352</v>
      </c>
      <c r="C960" s="248" t="s">
        <v>103</v>
      </c>
      <c r="D960" s="44">
        <v>2</v>
      </c>
      <c r="E960" s="31"/>
      <c r="F960" s="283"/>
      <c r="G960" s="285">
        <f t="shared" si="172"/>
        <v>0</v>
      </c>
    </row>
    <row r="961" spans="1:9" x14ac:dyDescent="0.2">
      <c r="A961" s="27"/>
      <c r="B961" s="218" t="s">
        <v>199</v>
      </c>
      <c r="C961" s="248" t="s">
        <v>103</v>
      </c>
      <c r="D961" s="44">
        <f>D951</f>
        <v>2</v>
      </c>
      <c r="E961" s="31"/>
      <c r="F961" s="283"/>
      <c r="G961" s="285">
        <f t="shared" si="172"/>
        <v>0</v>
      </c>
    </row>
    <row r="962" spans="1:9" x14ac:dyDescent="0.2">
      <c r="A962" s="27"/>
      <c r="B962" s="218" t="s">
        <v>200</v>
      </c>
      <c r="C962" s="248" t="s">
        <v>103</v>
      </c>
      <c r="D962" s="44">
        <f>D949</f>
        <v>2</v>
      </c>
      <c r="E962" s="31"/>
      <c r="F962" s="283"/>
      <c r="G962" s="285">
        <f t="shared" si="172"/>
        <v>0</v>
      </c>
    </row>
    <row r="963" spans="1:9" x14ac:dyDescent="0.2">
      <c r="A963" s="27"/>
      <c r="B963" s="218" t="s">
        <v>249</v>
      </c>
      <c r="C963" s="248" t="s">
        <v>103</v>
      </c>
      <c r="D963" s="44">
        <f>D950</f>
        <v>2</v>
      </c>
      <c r="E963" s="31"/>
      <c r="F963" s="283"/>
      <c r="G963" s="285">
        <f t="shared" si="172"/>
        <v>0</v>
      </c>
    </row>
    <row r="964" spans="1:9" ht="12" customHeight="1" x14ac:dyDescent="0.2">
      <c r="A964" s="27"/>
      <c r="B964" s="218" t="s">
        <v>294</v>
      </c>
      <c r="C964" s="248" t="s">
        <v>103</v>
      </c>
      <c r="D964" s="44">
        <f>D951</f>
        <v>2</v>
      </c>
      <c r="E964" s="31"/>
      <c r="F964" s="283"/>
      <c r="G964" s="285">
        <f t="shared" si="172"/>
        <v>0</v>
      </c>
    </row>
    <row r="965" spans="1:9" ht="12" customHeight="1" x14ac:dyDescent="0.2">
      <c r="A965" s="27"/>
      <c r="B965" s="218" t="s">
        <v>295</v>
      </c>
      <c r="C965" s="248" t="s">
        <v>103</v>
      </c>
      <c r="D965" s="44">
        <f>D952</f>
        <v>2</v>
      </c>
      <c r="E965" s="31"/>
      <c r="F965" s="283"/>
      <c r="G965" s="285">
        <f t="shared" si="172"/>
        <v>0</v>
      </c>
    </row>
    <row r="966" spans="1:9" ht="12" customHeight="1" x14ac:dyDescent="0.2">
      <c r="A966" s="27"/>
      <c r="B966" s="218"/>
      <c r="C966" s="248"/>
      <c r="D966" s="44"/>
      <c r="E966" s="31"/>
      <c r="F966" s="283"/>
      <c r="G966" s="285"/>
    </row>
    <row r="967" spans="1:9" ht="12" customHeight="1" x14ac:dyDescent="0.2">
      <c r="A967" s="314"/>
      <c r="B967" s="318"/>
      <c r="C967" s="316"/>
      <c r="D967" s="317"/>
      <c r="E967" s="176"/>
      <c r="F967" s="283"/>
      <c r="G967" s="285"/>
    </row>
    <row r="968" spans="1:9" ht="12" customHeight="1" thickBot="1" x14ac:dyDescent="0.25">
      <c r="A968" s="314"/>
      <c r="B968" s="318"/>
      <c r="C968" s="316"/>
      <c r="D968" s="317"/>
      <c r="E968" s="176"/>
      <c r="F968" s="283"/>
      <c r="G968" s="285"/>
    </row>
    <row r="969" spans="1:9" ht="12" customHeight="1" x14ac:dyDescent="0.2">
      <c r="A969" s="55"/>
      <c r="B969" s="56" t="s">
        <v>170</v>
      </c>
      <c r="C969" s="288"/>
      <c r="D969" s="289"/>
      <c r="E969" s="290"/>
      <c r="F969" s="159"/>
      <c r="G969" s="160"/>
    </row>
    <row r="970" spans="1:9" ht="12" customHeight="1" thickBot="1" x14ac:dyDescent="0.25">
      <c r="A970" s="60"/>
      <c r="B970" s="61" t="s">
        <v>123</v>
      </c>
      <c r="C970" s="123"/>
      <c r="D970" s="124"/>
      <c r="E970" s="151"/>
      <c r="F970" s="125"/>
      <c r="G970" s="161">
        <f>SUM(G865:G969)</f>
        <v>0</v>
      </c>
      <c r="I970" s="137"/>
    </row>
    <row r="971" spans="1:9" x14ac:dyDescent="0.2">
      <c r="A971" s="291"/>
      <c r="B971" s="67"/>
      <c r="C971" s="113"/>
      <c r="D971" s="46"/>
      <c r="E971" s="78"/>
      <c r="F971" s="46"/>
      <c r="G971" s="120"/>
    </row>
    <row r="972" spans="1:9" x14ac:dyDescent="0.2">
      <c r="A972" s="291"/>
      <c r="B972" s="28" t="s">
        <v>315</v>
      </c>
      <c r="C972" s="113"/>
      <c r="D972" s="46"/>
      <c r="E972" s="78"/>
      <c r="F972" s="46"/>
      <c r="G972" s="120"/>
    </row>
    <row r="973" spans="1:9" x14ac:dyDescent="0.2">
      <c r="A973" s="291"/>
      <c r="B973" s="36" t="s">
        <v>392</v>
      </c>
      <c r="C973" s="113"/>
      <c r="D973" s="46"/>
      <c r="E973" s="78"/>
      <c r="F973" s="46"/>
      <c r="G973" s="120"/>
    </row>
    <row r="974" spans="1:9" x14ac:dyDescent="0.2">
      <c r="A974" s="291"/>
      <c r="B974" s="67"/>
      <c r="C974" s="113"/>
      <c r="D974" s="46"/>
      <c r="E974" s="78"/>
      <c r="F974" s="46"/>
      <c r="G974" s="120"/>
    </row>
    <row r="975" spans="1:9" x14ac:dyDescent="0.2">
      <c r="A975" s="291">
        <v>13.1</v>
      </c>
      <c r="B975" s="332" t="s">
        <v>95</v>
      </c>
      <c r="C975" s="113"/>
      <c r="D975" s="46"/>
      <c r="E975" s="78"/>
      <c r="F975" s="46"/>
      <c r="G975" s="285">
        <f t="shared" ref="G975" si="173">+D975*E975+D975*F975</f>
        <v>0</v>
      </c>
    </row>
    <row r="976" spans="1:9" x14ac:dyDescent="0.2">
      <c r="A976" s="291" t="s">
        <v>393</v>
      </c>
      <c r="B976" s="332" t="s">
        <v>364</v>
      </c>
      <c r="C976" s="113"/>
      <c r="D976" s="46"/>
      <c r="E976" s="78"/>
      <c r="F976" s="46"/>
      <c r="G976" s="120"/>
    </row>
    <row r="977" spans="1:10" x14ac:dyDescent="0.2">
      <c r="A977" s="291" t="s">
        <v>365</v>
      </c>
      <c r="B977" s="334" t="s">
        <v>366</v>
      </c>
      <c r="C977" s="113"/>
      <c r="D977" s="46"/>
      <c r="E977" s="78"/>
      <c r="F977" s="46"/>
      <c r="G977" s="120"/>
    </row>
    <row r="978" spans="1:10" ht="13.5" x14ac:dyDescent="0.2">
      <c r="A978" s="291"/>
      <c r="B978" s="333" t="s">
        <v>394</v>
      </c>
      <c r="C978" s="113" t="s">
        <v>337</v>
      </c>
      <c r="D978" s="46">
        <v>60.35</v>
      </c>
      <c r="E978" s="78"/>
      <c r="F978" s="46"/>
      <c r="G978" s="285">
        <f t="shared" ref="G978:G981" si="174">+D978*E978+D978*F978</f>
        <v>0</v>
      </c>
      <c r="I978" s="19">
        <f>6.075*5+4.925*2</f>
        <v>40.225000000000001</v>
      </c>
      <c r="J978" s="19">
        <f>I978*1.5</f>
        <v>60.337500000000006</v>
      </c>
    </row>
    <row r="979" spans="1:10" x14ac:dyDescent="0.2">
      <c r="A979" s="291" t="s">
        <v>363</v>
      </c>
      <c r="B979" s="332" t="s">
        <v>96</v>
      </c>
      <c r="C979" s="113"/>
      <c r="D979" s="46"/>
      <c r="E979" s="78"/>
      <c r="F979" s="46"/>
      <c r="G979" s="285">
        <f t="shared" si="174"/>
        <v>0</v>
      </c>
    </row>
    <row r="980" spans="1:10" ht="13.5" x14ac:dyDescent="0.2">
      <c r="A980" s="291"/>
      <c r="B980" s="333" t="s">
        <v>395</v>
      </c>
      <c r="C980" s="113" t="s">
        <v>337</v>
      </c>
      <c r="D980" s="46">
        <v>120.7</v>
      </c>
      <c r="E980" s="78"/>
      <c r="F980" s="46"/>
      <c r="G980" s="285">
        <f t="shared" ref="G980" si="175">+D980*E980+D980*F980</f>
        <v>0</v>
      </c>
      <c r="I980" s="19">
        <f>40.225*1.5*2</f>
        <v>120.67500000000001</v>
      </c>
    </row>
    <row r="981" spans="1:10" x14ac:dyDescent="0.2">
      <c r="A981" s="291">
        <v>13.2</v>
      </c>
      <c r="B981" s="332" t="s">
        <v>367</v>
      </c>
      <c r="C981" s="113"/>
      <c r="D981" s="46"/>
      <c r="E981" s="78"/>
      <c r="F981" s="46"/>
      <c r="G981" s="285">
        <f t="shared" si="174"/>
        <v>0</v>
      </c>
    </row>
    <row r="982" spans="1:10" x14ac:dyDescent="0.2">
      <c r="A982" s="211"/>
      <c r="B982" s="212"/>
      <c r="C982" s="213"/>
      <c r="D982" s="214"/>
      <c r="E982" s="215"/>
      <c r="F982" s="216"/>
      <c r="G982" s="217"/>
    </row>
    <row r="983" spans="1:10" x14ac:dyDescent="0.2">
      <c r="A983" s="50" t="s">
        <v>172</v>
      </c>
      <c r="B983" s="218" t="s">
        <v>527</v>
      </c>
      <c r="C983" s="219" t="s">
        <v>103</v>
      </c>
      <c r="D983" s="44">
        <v>4</v>
      </c>
      <c r="E983" s="31"/>
      <c r="F983" s="82"/>
      <c r="G983" s="83">
        <f t="shared" ref="G983" si="176">(D983*E983)+(D983*F983)</f>
        <v>0</v>
      </c>
    </row>
    <row r="984" spans="1:10" x14ac:dyDescent="0.2">
      <c r="A984" s="291"/>
      <c r="B984" s="333"/>
      <c r="C984" s="113"/>
      <c r="D984" s="46"/>
      <c r="E984" s="78"/>
      <c r="F984" s="46"/>
      <c r="G984" s="47"/>
    </row>
    <row r="985" spans="1:10" x14ac:dyDescent="0.2">
      <c r="A985" s="291">
        <v>13.3</v>
      </c>
      <c r="B985" s="332" t="s">
        <v>84</v>
      </c>
      <c r="C985" s="113"/>
      <c r="D985" s="46"/>
      <c r="E985" s="78"/>
      <c r="F985" s="46"/>
      <c r="G985" s="285">
        <f t="shared" ref="G985" si="177">+D985*E985+D985*F985</f>
        <v>0</v>
      </c>
    </row>
    <row r="986" spans="1:10" ht="13.5" x14ac:dyDescent="0.2">
      <c r="A986" s="50"/>
      <c r="B986" s="333" t="s">
        <v>368</v>
      </c>
      <c r="C986" s="113" t="s">
        <v>337</v>
      </c>
      <c r="D986" s="46">
        <f>D980</f>
        <v>120.7</v>
      </c>
      <c r="E986" s="78"/>
      <c r="F986" s="46"/>
      <c r="G986" s="285">
        <f t="shared" ref="G986" si="178">+D986*E986+D986*F986</f>
        <v>0</v>
      </c>
    </row>
    <row r="987" spans="1:10" x14ac:dyDescent="0.2">
      <c r="A987" s="50"/>
      <c r="B987" s="333"/>
      <c r="C987" s="113"/>
      <c r="D987" s="46"/>
      <c r="E987" s="78"/>
      <c r="F987" s="46"/>
      <c r="G987" s="285"/>
    </row>
    <row r="988" spans="1:10" x14ac:dyDescent="0.2">
      <c r="A988" s="291">
        <v>13.4</v>
      </c>
      <c r="B988" s="332" t="s">
        <v>281</v>
      </c>
      <c r="C988" s="113"/>
      <c r="D988" s="46"/>
      <c r="E988" s="78"/>
      <c r="F988" s="46"/>
      <c r="G988" s="285">
        <f t="shared" ref="G988:G989" si="179">+D988*E988+D988*F988</f>
        <v>0</v>
      </c>
    </row>
    <row r="989" spans="1:10" x14ac:dyDescent="0.2">
      <c r="A989" s="50"/>
      <c r="B989" s="333" t="s">
        <v>396</v>
      </c>
      <c r="C989" s="113" t="s">
        <v>115</v>
      </c>
      <c r="D989" s="46">
        <v>261</v>
      </c>
      <c r="E989" s="78"/>
      <c r="F989" s="46"/>
      <c r="G989" s="285">
        <f t="shared" si="179"/>
        <v>0</v>
      </c>
      <c r="I989" s="19">
        <f>8.5*8+10.3*8</f>
        <v>150.4</v>
      </c>
    </row>
    <row r="990" spans="1:10" ht="13.5" x14ac:dyDescent="0.2">
      <c r="A990" s="291"/>
      <c r="B990" s="333" t="s">
        <v>398</v>
      </c>
      <c r="C990" s="113" t="s">
        <v>337</v>
      </c>
      <c r="D990" s="46">
        <v>93.2</v>
      </c>
      <c r="E990" s="78"/>
      <c r="F990" s="46"/>
      <c r="G990" s="47"/>
    </row>
    <row r="991" spans="1:10" x14ac:dyDescent="0.2">
      <c r="A991" s="291"/>
      <c r="B991" s="333" t="s">
        <v>525</v>
      </c>
      <c r="C991" s="113" t="s">
        <v>103</v>
      </c>
      <c r="D991" s="46">
        <v>2</v>
      </c>
      <c r="E991" s="78"/>
      <c r="F991" s="46"/>
      <c r="G991" s="47"/>
    </row>
    <row r="992" spans="1:10" x14ac:dyDescent="0.2">
      <c r="A992" s="291">
        <v>13.5</v>
      </c>
      <c r="B992" s="332" t="s">
        <v>397</v>
      </c>
      <c r="C992" s="113"/>
      <c r="D992" s="46"/>
      <c r="E992" s="78"/>
      <c r="F992" s="46"/>
      <c r="G992" s="285">
        <f t="shared" ref="G992" si="180">+D992*E992+D992*F992</f>
        <v>0</v>
      </c>
    </row>
    <row r="993" spans="1:7" ht="13.5" x14ac:dyDescent="0.2">
      <c r="A993" s="312"/>
      <c r="B993" s="318" t="s">
        <v>526</v>
      </c>
      <c r="C993" s="113" t="s">
        <v>337</v>
      </c>
      <c r="D993" s="303">
        <f>D990</f>
        <v>93.2</v>
      </c>
      <c r="E993" s="176"/>
      <c r="F993" s="283"/>
      <c r="G993" s="185"/>
    </row>
    <row r="994" spans="1:7" x14ac:dyDescent="0.2">
      <c r="A994" s="312"/>
      <c r="B994" s="313"/>
      <c r="C994" s="319"/>
      <c r="D994" s="320"/>
      <c r="E994" s="176"/>
      <c r="F994" s="283"/>
      <c r="G994" s="285"/>
    </row>
    <row r="995" spans="1:7" x14ac:dyDescent="0.2">
      <c r="A995" s="314"/>
      <c r="B995" s="318"/>
      <c r="C995" s="302"/>
      <c r="D995" s="303"/>
      <c r="E995" s="176"/>
      <c r="F995" s="283"/>
      <c r="G995" s="285"/>
    </row>
    <row r="996" spans="1:7" x14ac:dyDescent="0.2">
      <c r="A996" s="314"/>
      <c r="B996" s="318"/>
      <c r="C996" s="302"/>
      <c r="D996" s="303"/>
      <c r="E996" s="176"/>
      <c r="F996" s="283"/>
      <c r="G996" s="285"/>
    </row>
    <row r="997" spans="1:7" x14ac:dyDescent="0.2">
      <c r="A997" s="314"/>
      <c r="B997" s="318"/>
      <c r="C997" s="302"/>
      <c r="D997" s="303"/>
      <c r="E997" s="176"/>
      <c r="F997" s="283"/>
      <c r="G997" s="285"/>
    </row>
    <row r="998" spans="1:7" x14ac:dyDescent="0.2">
      <c r="A998" s="314"/>
      <c r="B998" s="318"/>
      <c r="C998" s="302"/>
      <c r="D998" s="303"/>
      <c r="E998" s="176"/>
      <c r="F998" s="283"/>
      <c r="G998" s="285"/>
    </row>
    <row r="999" spans="1:7" x14ac:dyDescent="0.2">
      <c r="A999" s="291"/>
      <c r="B999" s="333"/>
      <c r="C999" s="113"/>
      <c r="D999" s="46"/>
      <c r="E999" s="78"/>
      <c r="F999" s="46"/>
      <c r="G999" s="47"/>
    </row>
    <row r="1000" spans="1:7" x14ac:dyDescent="0.2">
      <c r="A1000" s="312"/>
      <c r="B1000" s="313"/>
      <c r="C1000" s="319"/>
      <c r="D1000" s="320"/>
      <c r="E1000" s="176"/>
      <c r="F1000" s="283"/>
      <c r="G1000" s="285"/>
    </row>
    <row r="1001" spans="1:7" x14ac:dyDescent="0.2">
      <c r="A1001" s="312"/>
      <c r="B1001" s="313"/>
      <c r="C1001" s="319"/>
      <c r="D1001" s="320"/>
      <c r="E1001" s="176"/>
      <c r="F1001" s="283"/>
      <c r="G1001" s="285"/>
    </row>
    <row r="1002" spans="1:7" x14ac:dyDescent="0.2">
      <c r="A1002" s="312"/>
      <c r="B1002" s="313"/>
      <c r="C1002" s="319"/>
      <c r="D1002" s="320"/>
      <c r="E1002" s="176"/>
      <c r="F1002" s="283"/>
      <c r="G1002" s="285"/>
    </row>
    <row r="1003" spans="1:7" x14ac:dyDescent="0.2">
      <c r="A1003" s="312"/>
      <c r="B1003" s="313"/>
      <c r="C1003" s="319"/>
      <c r="D1003" s="320"/>
      <c r="E1003" s="176"/>
      <c r="F1003" s="283"/>
      <c r="G1003" s="285"/>
    </row>
    <row r="1004" spans="1:7" x14ac:dyDescent="0.2">
      <c r="A1004" s="312"/>
      <c r="B1004" s="313"/>
      <c r="C1004" s="319"/>
      <c r="D1004" s="320"/>
      <c r="E1004" s="176"/>
      <c r="F1004" s="283"/>
      <c r="G1004" s="285"/>
    </row>
    <row r="1005" spans="1:7" x14ac:dyDescent="0.2">
      <c r="A1005" s="312"/>
      <c r="B1005" s="313"/>
      <c r="C1005" s="319"/>
      <c r="D1005" s="320"/>
      <c r="E1005" s="176"/>
      <c r="F1005" s="283"/>
      <c r="G1005" s="285"/>
    </row>
    <row r="1006" spans="1:7" x14ac:dyDescent="0.2">
      <c r="A1006" s="312"/>
      <c r="B1006" s="313"/>
      <c r="C1006" s="319"/>
      <c r="D1006" s="320"/>
      <c r="E1006" s="176"/>
      <c r="F1006" s="283"/>
      <c r="G1006" s="285"/>
    </row>
    <row r="1007" spans="1:7" x14ac:dyDescent="0.2">
      <c r="A1007" s="312"/>
      <c r="B1007" s="313"/>
      <c r="C1007" s="319"/>
      <c r="D1007" s="320"/>
      <c r="E1007" s="176"/>
      <c r="F1007" s="283"/>
      <c r="G1007" s="285"/>
    </row>
    <row r="1008" spans="1:7" x14ac:dyDescent="0.2">
      <c r="A1008" s="312"/>
      <c r="B1008" s="313"/>
      <c r="C1008" s="319"/>
      <c r="D1008" s="320"/>
      <c r="E1008" s="176"/>
      <c r="F1008" s="283"/>
      <c r="G1008" s="285"/>
    </row>
    <row r="1009" spans="1:7" x14ac:dyDescent="0.2">
      <c r="A1009" s="312"/>
      <c r="B1009" s="313"/>
      <c r="C1009" s="319"/>
      <c r="D1009" s="320"/>
      <c r="E1009" s="176"/>
      <c r="F1009" s="283"/>
      <c r="G1009" s="285"/>
    </row>
    <row r="1010" spans="1:7" x14ac:dyDescent="0.2">
      <c r="A1010" s="312"/>
      <c r="B1010" s="313"/>
      <c r="C1010" s="319"/>
      <c r="D1010" s="320"/>
      <c r="E1010" s="176"/>
      <c r="F1010" s="283"/>
      <c r="G1010" s="285"/>
    </row>
    <row r="1011" spans="1:7" ht="12.75" thickBot="1" x14ac:dyDescent="0.25">
      <c r="A1011" s="312"/>
      <c r="B1011" s="313"/>
      <c r="C1011" s="319"/>
      <c r="D1011" s="320"/>
      <c r="E1011" s="176"/>
      <c r="F1011" s="283"/>
      <c r="G1011" s="285"/>
    </row>
    <row r="1012" spans="1:7" x14ac:dyDescent="0.2">
      <c r="A1012" s="295"/>
      <c r="B1012" s="56" t="s">
        <v>522</v>
      </c>
      <c r="C1012" s="288"/>
      <c r="D1012" s="159"/>
      <c r="E1012" s="290"/>
      <c r="F1012" s="159"/>
      <c r="G1012" s="160"/>
    </row>
    <row r="1013" spans="1:7" ht="12.75" thickBot="1" x14ac:dyDescent="0.25">
      <c r="A1013" s="296"/>
      <c r="B1013" s="61" t="s">
        <v>301</v>
      </c>
      <c r="C1013" s="123"/>
      <c r="D1013" s="125"/>
      <c r="E1013" s="151"/>
      <c r="F1013" s="125"/>
      <c r="G1013" s="161">
        <f>SUM(G974:G1012)</f>
        <v>0</v>
      </c>
    </row>
    <row r="1014" spans="1:7" x14ac:dyDescent="0.2">
      <c r="A1014" s="291"/>
      <c r="B1014" s="333"/>
      <c r="C1014" s="113"/>
      <c r="D1014" s="46"/>
      <c r="E1014" s="78"/>
      <c r="F1014" s="46"/>
      <c r="G1014" s="47"/>
    </row>
    <row r="1015" spans="1:7" x14ac:dyDescent="0.2">
      <c r="A1015" s="291"/>
      <c r="B1015" s="28" t="s">
        <v>315</v>
      </c>
      <c r="C1015" s="43"/>
      <c r="D1015" s="157"/>
      <c r="E1015" s="31"/>
      <c r="F1015" s="46"/>
      <c r="G1015" s="47"/>
    </row>
    <row r="1016" spans="1:7" x14ac:dyDescent="0.2">
      <c r="A1016" s="291"/>
      <c r="B1016" s="36" t="s">
        <v>312</v>
      </c>
      <c r="C1016" s="43"/>
      <c r="D1016" s="157"/>
      <c r="E1016" s="31"/>
      <c r="F1016" s="46"/>
      <c r="G1016" s="47"/>
    </row>
    <row r="1017" spans="1:7" x14ac:dyDescent="0.2">
      <c r="A1017" s="292">
        <v>13.1</v>
      </c>
      <c r="B1017" s="235" t="s">
        <v>40</v>
      </c>
      <c r="C1017" s="293"/>
      <c r="D1017" s="294"/>
      <c r="E1017" s="100"/>
      <c r="F1017" s="202"/>
      <c r="G1017" s="203"/>
    </row>
    <row r="1018" spans="1:7" x14ac:dyDescent="0.2">
      <c r="A1018" s="297"/>
      <c r="B1018" s="235" t="s">
        <v>314</v>
      </c>
      <c r="C1018" s="293"/>
      <c r="D1018" s="294"/>
      <c r="E1018" s="100"/>
      <c r="F1018" s="202"/>
      <c r="G1018" s="203"/>
    </row>
    <row r="1019" spans="1:7" x14ac:dyDescent="0.2">
      <c r="A1019" s="291"/>
      <c r="B1019" s="218"/>
      <c r="C1019" s="248"/>
      <c r="D1019" s="157"/>
      <c r="E1019" s="31"/>
      <c r="F1019" s="46"/>
      <c r="G1019" s="47"/>
    </row>
    <row r="1020" spans="1:7" x14ac:dyDescent="0.2">
      <c r="A1020" s="291"/>
      <c r="B1020" s="218"/>
      <c r="C1020" s="248"/>
      <c r="D1020" s="157"/>
      <c r="E1020" s="31"/>
      <c r="F1020" s="46"/>
      <c r="G1020" s="47"/>
    </row>
    <row r="1021" spans="1:7" x14ac:dyDescent="0.2">
      <c r="A1021" s="291"/>
      <c r="B1021" s="218"/>
      <c r="C1021" s="248"/>
      <c r="D1021" s="157"/>
      <c r="E1021" s="31"/>
      <c r="F1021" s="46"/>
      <c r="G1021" s="47"/>
    </row>
    <row r="1022" spans="1:7" x14ac:dyDescent="0.2">
      <c r="A1022" s="291"/>
      <c r="B1022" s="218"/>
      <c r="C1022" s="248"/>
      <c r="D1022" s="157"/>
      <c r="E1022" s="31"/>
      <c r="F1022" s="46"/>
      <c r="G1022" s="47"/>
    </row>
    <row r="1023" spans="1:7" x14ac:dyDescent="0.2">
      <c r="A1023" s="291"/>
      <c r="B1023" s="218"/>
      <c r="C1023" s="248"/>
      <c r="D1023" s="157"/>
      <c r="E1023" s="31"/>
      <c r="F1023" s="46"/>
      <c r="G1023" s="47"/>
    </row>
    <row r="1024" spans="1:7" x14ac:dyDescent="0.2">
      <c r="A1024" s="291"/>
      <c r="B1024" s="218"/>
      <c r="C1024" s="248"/>
      <c r="D1024" s="157"/>
      <c r="E1024" s="31"/>
      <c r="F1024" s="46"/>
      <c r="G1024" s="47"/>
    </row>
    <row r="1025" spans="1:7" x14ac:dyDescent="0.2">
      <c r="A1025" s="291"/>
      <c r="B1025" s="218"/>
      <c r="C1025" s="248"/>
      <c r="D1025" s="157"/>
      <c r="E1025" s="31"/>
      <c r="F1025" s="46"/>
      <c r="G1025" s="47"/>
    </row>
    <row r="1026" spans="1:7" x14ac:dyDescent="0.2">
      <c r="A1026" s="291"/>
      <c r="B1026" s="218"/>
      <c r="C1026" s="248"/>
      <c r="D1026" s="157"/>
      <c r="E1026" s="31"/>
      <c r="F1026" s="46"/>
      <c r="G1026" s="47"/>
    </row>
    <row r="1027" spans="1:7" x14ac:dyDescent="0.2">
      <c r="A1027" s="291"/>
      <c r="B1027" s="218"/>
      <c r="C1027" s="248"/>
      <c r="D1027" s="157"/>
      <c r="E1027" s="31"/>
      <c r="F1027" s="46"/>
      <c r="G1027" s="47"/>
    </row>
    <row r="1028" spans="1:7" x14ac:dyDescent="0.2">
      <c r="A1028" s="291"/>
      <c r="B1028" s="218"/>
      <c r="C1028" s="248"/>
      <c r="D1028" s="157"/>
      <c r="E1028" s="31"/>
      <c r="F1028" s="46"/>
      <c r="G1028" s="47"/>
    </row>
    <row r="1029" spans="1:7" x14ac:dyDescent="0.2">
      <c r="A1029" s="291"/>
      <c r="B1029" s="218"/>
      <c r="C1029" s="248"/>
      <c r="D1029" s="157"/>
      <c r="E1029" s="31"/>
      <c r="F1029" s="46"/>
      <c r="G1029" s="47"/>
    </row>
    <row r="1030" spans="1:7" x14ac:dyDescent="0.2">
      <c r="A1030" s="291"/>
      <c r="B1030" s="218"/>
      <c r="C1030" s="248"/>
      <c r="D1030" s="157"/>
      <c r="E1030" s="31"/>
      <c r="F1030" s="46"/>
      <c r="G1030" s="47"/>
    </row>
    <row r="1031" spans="1:7" x14ac:dyDescent="0.2">
      <c r="A1031" s="291"/>
      <c r="B1031" s="218"/>
      <c r="C1031" s="248"/>
      <c r="D1031" s="157"/>
      <c r="E1031" s="31"/>
      <c r="F1031" s="46"/>
      <c r="G1031" s="47"/>
    </row>
    <row r="1032" spans="1:7" x14ac:dyDescent="0.2">
      <c r="A1032" s="291"/>
      <c r="B1032" s="218"/>
      <c r="C1032" s="248"/>
      <c r="D1032" s="157"/>
      <c r="E1032" s="31"/>
      <c r="F1032" s="46"/>
      <c r="G1032" s="47"/>
    </row>
    <row r="1033" spans="1:7" x14ac:dyDescent="0.2">
      <c r="A1033" s="291"/>
      <c r="B1033" s="218"/>
      <c r="C1033" s="248"/>
      <c r="D1033" s="157"/>
      <c r="E1033" s="31"/>
      <c r="F1033" s="46"/>
      <c r="G1033" s="47"/>
    </row>
    <row r="1034" spans="1:7" x14ac:dyDescent="0.2">
      <c r="A1034" s="291"/>
      <c r="B1034" s="218"/>
      <c r="C1034" s="248"/>
      <c r="D1034" s="157"/>
      <c r="E1034" s="31"/>
      <c r="F1034" s="46"/>
      <c r="G1034" s="47"/>
    </row>
    <row r="1035" spans="1:7" x14ac:dyDescent="0.2">
      <c r="A1035" s="291"/>
      <c r="B1035" s="218"/>
      <c r="C1035" s="248"/>
      <c r="D1035" s="157"/>
      <c r="E1035" s="31"/>
      <c r="F1035" s="46"/>
      <c r="G1035" s="47"/>
    </row>
    <row r="1036" spans="1:7" x14ac:dyDescent="0.2">
      <c r="A1036" s="291"/>
      <c r="B1036" s="218"/>
      <c r="C1036" s="248"/>
      <c r="D1036" s="157"/>
      <c r="E1036" s="31"/>
      <c r="F1036" s="46"/>
      <c r="G1036" s="47"/>
    </row>
    <row r="1037" spans="1:7" x14ac:dyDescent="0.2">
      <c r="A1037" s="291"/>
      <c r="B1037" s="218"/>
      <c r="C1037" s="248"/>
      <c r="D1037" s="157"/>
      <c r="E1037" s="31"/>
      <c r="F1037" s="46"/>
      <c r="G1037" s="47"/>
    </row>
    <row r="1038" spans="1:7" x14ac:dyDescent="0.2">
      <c r="A1038" s="291"/>
      <c r="B1038" s="218"/>
      <c r="C1038" s="248"/>
      <c r="D1038" s="157"/>
      <c r="E1038" s="31"/>
      <c r="F1038" s="46"/>
      <c r="G1038" s="47"/>
    </row>
    <row r="1039" spans="1:7" x14ac:dyDescent="0.2">
      <c r="A1039" s="291"/>
      <c r="B1039" s="218"/>
      <c r="C1039" s="248"/>
      <c r="D1039" s="157"/>
      <c r="E1039" s="31"/>
      <c r="F1039" s="46"/>
      <c r="G1039" s="47"/>
    </row>
    <row r="1040" spans="1:7" x14ac:dyDescent="0.2">
      <c r="A1040" s="291"/>
      <c r="B1040" s="218"/>
      <c r="C1040" s="248"/>
      <c r="D1040" s="157"/>
      <c r="E1040" s="31"/>
      <c r="F1040" s="46"/>
      <c r="G1040" s="47"/>
    </row>
    <row r="1041" spans="1:7" x14ac:dyDescent="0.2">
      <c r="A1041" s="291"/>
      <c r="B1041" s="218"/>
      <c r="C1041" s="248"/>
      <c r="D1041" s="157"/>
      <c r="E1041" s="31"/>
      <c r="F1041" s="46"/>
      <c r="G1041" s="47"/>
    </row>
    <row r="1042" spans="1:7" x14ac:dyDescent="0.2">
      <c r="A1042" s="291"/>
      <c r="B1042" s="218"/>
      <c r="C1042" s="248"/>
      <c r="D1042" s="157"/>
      <c r="E1042" s="31"/>
      <c r="F1042" s="46"/>
      <c r="G1042" s="47"/>
    </row>
    <row r="1043" spans="1:7" x14ac:dyDescent="0.2">
      <c r="A1043" s="291"/>
      <c r="B1043" s="218"/>
      <c r="C1043" s="248"/>
      <c r="D1043" s="157"/>
      <c r="E1043" s="31"/>
      <c r="F1043" s="46"/>
      <c r="G1043" s="47"/>
    </row>
    <row r="1044" spans="1:7" x14ac:dyDescent="0.2">
      <c r="A1044" s="291"/>
      <c r="B1044" s="218"/>
      <c r="C1044" s="248"/>
      <c r="D1044" s="157"/>
      <c r="E1044" s="31"/>
      <c r="F1044" s="46"/>
      <c r="G1044" s="47"/>
    </row>
    <row r="1045" spans="1:7" x14ac:dyDescent="0.2">
      <c r="A1045" s="291"/>
      <c r="B1045" s="218"/>
      <c r="C1045" s="248"/>
      <c r="D1045" s="157"/>
      <c r="E1045" s="31"/>
      <c r="F1045" s="46"/>
      <c r="G1045" s="47"/>
    </row>
    <row r="1046" spans="1:7" x14ac:dyDescent="0.2">
      <c r="A1046" s="291"/>
      <c r="B1046" s="218"/>
      <c r="C1046" s="248"/>
      <c r="D1046" s="157"/>
      <c r="E1046" s="31"/>
      <c r="F1046" s="46"/>
      <c r="G1046" s="47"/>
    </row>
    <row r="1047" spans="1:7" x14ac:dyDescent="0.2">
      <c r="A1047" s="291"/>
      <c r="B1047" s="218"/>
      <c r="C1047" s="248"/>
      <c r="D1047" s="157"/>
      <c r="E1047" s="31"/>
      <c r="F1047" s="46"/>
      <c r="G1047" s="47"/>
    </row>
    <row r="1048" spans="1:7" x14ac:dyDescent="0.2">
      <c r="A1048" s="291"/>
      <c r="B1048" s="218"/>
      <c r="C1048" s="248"/>
      <c r="D1048" s="157"/>
      <c r="E1048" s="31"/>
      <c r="F1048" s="46"/>
      <c r="G1048" s="47"/>
    </row>
    <row r="1049" spans="1:7" x14ac:dyDescent="0.2">
      <c r="A1049" s="291"/>
      <c r="B1049" s="218"/>
      <c r="C1049" s="248"/>
      <c r="D1049" s="157"/>
      <c r="E1049" s="31"/>
      <c r="F1049" s="46"/>
      <c r="G1049" s="47"/>
    </row>
    <row r="1050" spans="1:7" x14ac:dyDescent="0.2">
      <c r="A1050" s="291"/>
      <c r="B1050" s="218"/>
      <c r="C1050" s="248"/>
      <c r="D1050" s="157"/>
      <c r="E1050" s="31"/>
      <c r="F1050" s="46"/>
      <c r="G1050" s="47"/>
    </row>
    <row r="1051" spans="1:7" x14ac:dyDescent="0.2">
      <c r="A1051" s="291"/>
      <c r="B1051" s="218"/>
      <c r="C1051" s="248"/>
      <c r="D1051" s="157"/>
      <c r="E1051" s="31"/>
      <c r="F1051" s="46"/>
      <c r="G1051" s="47"/>
    </row>
    <row r="1052" spans="1:7" x14ac:dyDescent="0.2">
      <c r="A1052" s="291"/>
      <c r="B1052" s="218"/>
      <c r="C1052" s="248"/>
      <c r="D1052" s="157"/>
      <c r="E1052" s="31"/>
      <c r="F1052" s="46"/>
      <c r="G1052" s="47"/>
    </row>
    <row r="1053" spans="1:7" x14ac:dyDescent="0.2">
      <c r="A1053" s="291"/>
      <c r="B1053" s="218"/>
      <c r="C1053" s="248"/>
      <c r="D1053" s="157"/>
      <c r="E1053" s="31"/>
      <c r="F1053" s="46"/>
      <c r="G1053" s="47"/>
    </row>
    <row r="1054" spans="1:7" x14ac:dyDescent="0.2">
      <c r="A1054" s="291"/>
      <c r="B1054" s="218"/>
      <c r="C1054" s="248"/>
      <c r="D1054" s="157"/>
      <c r="E1054" s="31"/>
      <c r="F1054" s="46"/>
      <c r="G1054" s="47"/>
    </row>
    <row r="1055" spans="1:7" x14ac:dyDescent="0.2">
      <c r="A1055" s="291"/>
      <c r="B1055" s="218"/>
      <c r="C1055" s="248"/>
      <c r="D1055" s="157"/>
      <c r="E1055" s="31"/>
      <c r="F1055" s="46"/>
      <c r="G1055" s="47"/>
    </row>
    <row r="1056" spans="1:7" x14ac:dyDescent="0.2">
      <c r="A1056" s="291"/>
      <c r="B1056" s="218"/>
      <c r="C1056" s="248"/>
      <c r="D1056" s="157"/>
      <c r="E1056" s="31"/>
      <c r="F1056" s="46"/>
      <c r="G1056" s="47"/>
    </row>
    <row r="1057" spans="1:7" x14ac:dyDescent="0.2">
      <c r="A1057" s="291"/>
      <c r="B1057" s="218"/>
      <c r="C1057" s="248"/>
      <c r="D1057" s="157"/>
      <c r="E1057" s="31"/>
      <c r="F1057" s="46"/>
      <c r="G1057" s="47"/>
    </row>
    <row r="1058" spans="1:7" x14ac:dyDescent="0.2">
      <c r="A1058" s="291"/>
      <c r="B1058" s="218"/>
      <c r="C1058" s="248"/>
      <c r="D1058" s="157"/>
      <c r="E1058" s="31"/>
      <c r="F1058" s="46"/>
      <c r="G1058" s="47"/>
    </row>
    <row r="1059" spans="1:7" x14ac:dyDescent="0.2">
      <c r="A1059" s="291"/>
      <c r="B1059" s="218"/>
      <c r="C1059" s="248"/>
      <c r="D1059" s="157"/>
      <c r="E1059" s="31"/>
      <c r="F1059" s="46"/>
      <c r="G1059" s="47"/>
    </row>
    <row r="1060" spans="1:7" x14ac:dyDescent="0.2">
      <c r="A1060" s="291"/>
      <c r="B1060" s="218"/>
      <c r="C1060" s="248"/>
      <c r="D1060" s="157"/>
      <c r="E1060" s="31"/>
      <c r="F1060" s="46"/>
      <c r="G1060" s="47"/>
    </row>
    <row r="1061" spans="1:7" x14ac:dyDescent="0.2">
      <c r="A1061" s="291"/>
      <c r="B1061" s="218"/>
      <c r="C1061" s="248"/>
      <c r="D1061" s="157"/>
      <c r="E1061" s="31"/>
      <c r="F1061" s="46"/>
      <c r="G1061" s="47"/>
    </row>
    <row r="1062" spans="1:7" x14ac:dyDescent="0.2">
      <c r="A1062" s="291"/>
      <c r="B1062" s="218"/>
      <c r="C1062" s="248"/>
      <c r="D1062" s="157"/>
      <c r="E1062" s="31"/>
      <c r="F1062" s="46"/>
      <c r="G1062" s="47"/>
    </row>
    <row r="1063" spans="1:7" x14ac:dyDescent="0.2">
      <c r="A1063" s="291"/>
      <c r="B1063" s="218"/>
      <c r="C1063" s="248"/>
      <c r="D1063" s="157"/>
      <c r="E1063" s="31"/>
      <c r="F1063" s="46"/>
      <c r="G1063" s="47"/>
    </row>
    <row r="1064" spans="1:7" x14ac:dyDescent="0.2">
      <c r="A1064" s="291"/>
      <c r="B1064" s="218"/>
      <c r="C1064" s="248"/>
      <c r="D1064" s="157"/>
      <c r="E1064" s="31"/>
      <c r="F1064" s="46"/>
      <c r="G1064" s="47"/>
    </row>
    <row r="1065" spans="1:7" x14ac:dyDescent="0.2">
      <c r="A1065" s="291"/>
      <c r="B1065" s="218"/>
      <c r="C1065" s="248"/>
      <c r="D1065" s="157"/>
      <c r="E1065" s="31"/>
      <c r="F1065" s="46"/>
      <c r="G1065" s="47"/>
    </row>
    <row r="1066" spans="1:7" x14ac:dyDescent="0.2">
      <c r="A1066" s="291"/>
      <c r="B1066" s="218"/>
      <c r="C1066" s="248"/>
      <c r="D1066" s="157"/>
      <c r="E1066" s="31"/>
      <c r="F1066" s="46"/>
      <c r="G1066" s="47"/>
    </row>
    <row r="1067" spans="1:7" x14ac:dyDescent="0.2">
      <c r="A1067" s="291"/>
      <c r="B1067" s="218"/>
      <c r="C1067" s="248"/>
      <c r="D1067" s="157"/>
      <c r="E1067" s="31"/>
      <c r="F1067" s="46"/>
      <c r="G1067" s="47"/>
    </row>
    <row r="1068" spans="1:7" x14ac:dyDescent="0.2">
      <c r="A1068" s="291"/>
      <c r="B1068" s="218"/>
      <c r="C1068" s="248"/>
      <c r="D1068" s="157"/>
      <c r="E1068" s="31"/>
      <c r="F1068" s="46"/>
      <c r="G1068" s="47"/>
    </row>
    <row r="1069" spans="1:7" x14ac:dyDescent="0.2">
      <c r="A1069" s="291"/>
      <c r="B1069" s="218"/>
      <c r="C1069" s="248"/>
      <c r="D1069" s="157"/>
      <c r="E1069" s="31"/>
      <c r="F1069" s="46"/>
      <c r="G1069" s="47"/>
    </row>
    <row r="1070" spans="1:7" ht="12.75" thickBot="1" x14ac:dyDescent="0.25">
      <c r="A1070" s="291"/>
      <c r="B1070" s="218"/>
      <c r="C1070" s="248"/>
      <c r="D1070" s="157"/>
      <c r="E1070" s="31"/>
      <c r="F1070" s="46"/>
      <c r="G1070" s="47"/>
    </row>
    <row r="1071" spans="1:7" x14ac:dyDescent="0.2">
      <c r="A1071" s="295"/>
      <c r="B1071" s="56" t="s">
        <v>523</v>
      </c>
      <c r="C1071" s="288"/>
      <c r="D1071" s="159"/>
      <c r="E1071" s="290"/>
      <c r="F1071" s="159"/>
      <c r="G1071" s="160"/>
    </row>
    <row r="1072" spans="1:7" ht="12.75" thickBot="1" x14ac:dyDescent="0.25">
      <c r="A1072" s="296"/>
      <c r="B1072" s="61" t="s">
        <v>317</v>
      </c>
      <c r="C1072" s="123"/>
      <c r="D1072" s="125"/>
      <c r="E1072" s="151"/>
      <c r="F1072" s="125"/>
      <c r="G1072" s="161">
        <f>SUM(G1017:G1071)</f>
        <v>0</v>
      </c>
    </row>
    <row r="1073" spans="1:7" x14ac:dyDescent="0.2">
      <c r="A1073" s="291"/>
      <c r="B1073" s="67"/>
      <c r="C1073" s="113"/>
      <c r="D1073" s="46"/>
      <c r="E1073" s="78"/>
      <c r="F1073" s="46"/>
      <c r="G1073" s="120"/>
    </row>
    <row r="1074" spans="1:7" x14ac:dyDescent="0.2">
      <c r="A1074" s="291"/>
      <c r="B1074" s="28" t="s">
        <v>318</v>
      </c>
      <c r="C1074" s="43"/>
      <c r="D1074" s="157"/>
      <c r="E1074" s="31"/>
      <c r="F1074" s="46"/>
      <c r="G1074" s="47"/>
    </row>
    <row r="1075" spans="1:7" x14ac:dyDescent="0.2">
      <c r="A1075" s="291"/>
      <c r="B1075" s="36" t="s">
        <v>313</v>
      </c>
      <c r="C1075" s="43"/>
      <c r="D1075" s="157"/>
      <c r="E1075" s="31"/>
      <c r="F1075" s="46"/>
      <c r="G1075" s="47"/>
    </row>
    <row r="1076" spans="1:7" x14ac:dyDescent="0.2">
      <c r="A1076" s="292">
        <v>14.1</v>
      </c>
      <c r="B1076" s="235" t="s">
        <v>40</v>
      </c>
      <c r="C1076" s="293"/>
      <c r="D1076" s="294"/>
      <c r="E1076" s="100"/>
      <c r="F1076" s="202"/>
      <c r="G1076" s="203"/>
    </row>
    <row r="1077" spans="1:7" x14ac:dyDescent="0.2">
      <c r="A1077" s="298"/>
      <c r="B1077" s="299" t="s">
        <v>316</v>
      </c>
      <c r="C1077" s="68"/>
      <c r="D1077" s="157"/>
      <c r="E1077" s="176"/>
      <c r="F1077" s="149"/>
      <c r="G1077" s="185"/>
    </row>
    <row r="1078" spans="1:7" x14ac:dyDescent="0.2">
      <c r="A1078" s="291"/>
      <c r="B1078" s="218"/>
      <c r="C1078" s="248"/>
      <c r="D1078" s="157"/>
      <c r="E1078" s="31"/>
      <c r="F1078" s="46"/>
      <c r="G1078" s="47"/>
    </row>
    <row r="1079" spans="1:7" x14ac:dyDescent="0.2">
      <c r="A1079" s="291"/>
      <c r="B1079" s="218"/>
      <c r="C1079" s="248"/>
      <c r="D1079" s="157"/>
      <c r="E1079" s="31"/>
      <c r="F1079" s="46"/>
      <c r="G1079" s="47"/>
    </row>
    <row r="1080" spans="1:7" x14ac:dyDescent="0.2">
      <c r="A1080" s="291"/>
      <c r="B1080" s="218"/>
      <c r="C1080" s="248"/>
      <c r="D1080" s="157"/>
      <c r="E1080" s="31"/>
      <c r="F1080" s="46"/>
      <c r="G1080" s="47"/>
    </row>
    <row r="1081" spans="1:7" x14ac:dyDescent="0.2">
      <c r="A1081" s="291"/>
      <c r="B1081" s="218"/>
      <c r="C1081" s="248"/>
      <c r="D1081" s="157"/>
      <c r="E1081" s="31"/>
      <c r="F1081" s="46"/>
      <c r="G1081" s="47"/>
    </row>
    <row r="1082" spans="1:7" x14ac:dyDescent="0.2">
      <c r="A1082" s="291"/>
      <c r="B1082" s="218"/>
      <c r="C1082" s="248"/>
      <c r="D1082" s="157"/>
      <c r="E1082" s="31"/>
      <c r="F1082" s="46"/>
      <c r="G1082" s="47"/>
    </row>
    <row r="1083" spans="1:7" x14ac:dyDescent="0.2">
      <c r="A1083" s="291"/>
      <c r="B1083" s="218"/>
      <c r="C1083" s="248"/>
      <c r="D1083" s="157"/>
      <c r="E1083" s="31"/>
      <c r="F1083" s="46"/>
      <c r="G1083" s="47"/>
    </row>
    <row r="1084" spans="1:7" x14ac:dyDescent="0.2">
      <c r="A1084" s="291"/>
      <c r="B1084" s="218"/>
      <c r="C1084" s="248"/>
      <c r="D1084" s="157"/>
      <c r="E1084" s="31"/>
      <c r="F1084" s="46"/>
      <c r="G1084" s="47"/>
    </row>
    <row r="1085" spans="1:7" x14ac:dyDescent="0.2">
      <c r="A1085" s="291"/>
      <c r="B1085" s="218"/>
      <c r="C1085" s="248"/>
      <c r="D1085" s="157"/>
      <c r="E1085" s="31"/>
      <c r="F1085" s="46"/>
      <c r="G1085" s="47"/>
    </row>
    <row r="1086" spans="1:7" x14ac:dyDescent="0.2">
      <c r="A1086" s="291"/>
      <c r="B1086" s="218"/>
      <c r="C1086" s="248"/>
      <c r="D1086" s="157"/>
      <c r="E1086" s="31"/>
      <c r="F1086" s="46"/>
      <c r="G1086" s="47"/>
    </row>
    <row r="1087" spans="1:7" x14ac:dyDescent="0.2">
      <c r="A1087" s="291"/>
      <c r="B1087" s="218"/>
      <c r="C1087" s="248"/>
      <c r="D1087" s="157"/>
      <c r="E1087" s="31"/>
      <c r="F1087" s="46"/>
      <c r="G1087" s="47"/>
    </row>
    <row r="1088" spans="1:7" x14ac:dyDescent="0.2">
      <c r="A1088" s="291"/>
      <c r="B1088" s="218"/>
      <c r="C1088" s="248"/>
      <c r="D1088" s="157"/>
      <c r="E1088" s="31"/>
      <c r="F1088" s="46"/>
      <c r="G1088" s="47"/>
    </row>
    <row r="1089" spans="1:7" x14ac:dyDescent="0.2">
      <c r="A1089" s="291"/>
      <c r="B1089" s="218"/>
      <c r="C1089" s="248"/>
      <c r="D1089" s="157"/>
      <c r="E1089" s="31"/>
      <c r="F1089" s="46"/>
      <c r="G1089" s="47"/>
    </row>
    <row r="1090" spans="1:7" x14ac:dyDescent="0.2">
      <c r="A1090" s="291"/>
      <c r="B1090" s="218"/>
      <c r="C1090" s="248"/>
      <c r="D1090" s="157"/>
      <c r="E1090" s="31"/>
      <c r="F1090" s="46"/>
      <c r="G1090" s="47"/>
    </row>
    <row r="1091" spans="1:7" x14ac:dyDescent="0.2">
      <c r="A1091" s="291"/>
      <c r="B1091" s="218"/>
      <c r="C1091" s="248"/>
      <c r="D1091" s="157"/>
      <c r="E1091" s="31"/>
      <c r="F1091" s="46"/>
      <c r="G1091" s="47"/>
    </row>
    <row r="1092" spans="1:7" x14ac:dyDescent="0.2">
      <c r="A1092" s="291"/>
      <c r="B1092" s="218"/>
      <c r="C1092" s="248"/>
      <c r="D1092" s="157"/>
      <c r="E1092" s="31"/>
      <c r="F1092" s="46"/>
      <c r="G1092" s="47"/>
    </row>
    <row r="1093" spans="1:7" x14ac:dyDescent="0.2">
      <c r="A1093" s="291"/>
      <c r="B1093" s="218"/>
      <c r="C1093" s="248"/>
      <c r="D1093" s="157"/>
      <c r="E1093" s="31"/>
      <c r="F1093" s="46"/>
      <c r="G1093" s="47"/>
    </row>
    <row r="1094" spans="1:7" x14ac:dyDescent="0.2">
      <c r="A1094" s="291"/>
      <c r="B1094" s="218"/>
      <c r="C1094" s="248"/>
      <c r="D1094" s="157"/>
      <c r="E1094" s="31"/>
      <c r="F1094" s="46"/>
      <c r="G1094" s="47"/>
    </row>
    <row r="1095" spans="1:7" x14ac:dyDescent="0.2">
      <c r="A1095" s="291"/>
      <c r="B1095" s="218"/>
      <c r="C1095" s="248"/>
      <c r="D1095" s="157"/>
      <c r="E1095" s="31"/>
      <c r="F1095" s="46"/>
      <c r="G1095" s="47"/>
    </row>
    <row r="1096" spans="1:7" x14ac:dyDescent="0.2">
      <c r="A1096" s="291"/>
      <c r="B1096" s="218"/>
      <c r="C1096" s="248"/>
      <c r="D1096" s="157"/>
      <c r="E1096" s="31"/>
      <c r="F1096" s="46"/>
      <c r="G1096" s="47"/>
    </row>
    <row r="1097" spans="1:7" x14ac:dyDescent="0.2">
      <c r="A1097" s="291"/>
      <c r="B1097" s="218"/>
      <c r="C1097" s="248"/>
      <c r="D1097" s="157"/>
      <c r="E1097" s="31"/>
      <c r="F1097" s="46"/>
      <c r="G1097" s="47"/>
    </row>
    <row r="1098" spans="1:7" x14ac:dyDescent="0.2">
      <c r="A1098" s="291"/>
      <c r="B1098" s="218"/>
      <c r="C1098" s="248"/>
      <c r="D1098" s="157"/>
      <c r="E1098" s="31"/>
      <c r="F1098" s="46"/>
      <c r="G1098" s="47"/>
    </row>
    <row r="1099" spans="1:7" x14ac:dyDescent="0.2">
      <c r="A1099" s="291"/>
      <c r="B1099" s="218"/>
      <c r="C1099" s="248"/>
      <c r="D1099" s="157"/>
      <c r="E1099" s="31"/>
      <c r="F1099" s="46"/>
      <c r="G1099" s="47"/>
    </row>
    <row r="1100" spans="1:7" x14ac:dyDescent="0.2">
      <c r="A1100" s="291"/>
      <c r="B1100" s="218"/>
      <c r="C1100" s="248"/>
      <c r="D1100" s="157"/>
      <c r="E1100" s="31"/>
      <c r="F1100" s="46"/>
      <c r="G1100" s="47"/>
    </row>
    <row r="1101" spans="1:7" x14ac:dyDescent="0.2">
      <c r="A1101" s="291"/>
      <c r="B1101" s="218"/>
      <c r="C1101" s="248"/>
      <c r="D1101" s="157"/>
      <c r="E1101" s="31"/>
      <c r="F1101" s="46"/>
      <c r="G1101" s="47"/>
    </row>
    <row r="1102" spans="1:7" x14ac:dyDescent="0.2">
      <c r="A1102" s="291"/>
      <c r="B1102" s="218"/>
      <c r="C1102" s="248"/>
      <c r="D1102" s="157"/>
      <c r="E1102" s="31"/>
      <c r="F1102" s="46"/>
      <c r="G1102" s="47"/>
    </row>
    <row r="1103" spans="1:7" x14ac:dyDescent="0.2">
      <c r="A1103" s="291"/>
      <c r="B1103" s="218"/>
      <c r="C1103" s="248"/>
      <c r="D1103" s="157"/>
      <c r="E1103" s="31"/>
      <c r="F1103" s="46"/>
      <c r="G1103" s="47"/>
    </row>
    <row r="1104" spans="1:7" x14ac:dyDescent="0.2">
      <c r="A1104" s="291"/>
      <c r="B1104" s="218"/>
      <c r="C1104" s="248"/>
      <c r="D1104" s="157"/>
      <c r="E1104" s="31"/>
      <c r="F1104" s="46"/>
      <c r="G1104" s="47"/>
    </row>
    <row r="1105" spans="1:7" x14ac:dyDescent="0.2">
      <c r="A1105" s="291"/>
      <c r="B1105" s="218"/>
      <c r="C1105" s="248"/>
      <c r="D1105" s="157"/>
      <c r="E1105" s="31"/>
      <c r="F1105" s="46"/>
      <c r="G1105" s="47"/>
    </row>
    <row r="1106" spans="1:7" x14ac:dyDescent="0.2">
      <c r="A1106" s="291"/>
      <c r="B1106" s="218"/>
      <c r="C1106" s="248"/>
      <c r="D1106" s="157"/>
      <c r="E1106" s="31"/>
      <c r="F1106" s="46"/>
      <c r="G1106" s="47"/>
    </row>
    <row r="1107" spans="1:7" x14ac:dyDescent="0.2">
      <c r="A1107" s="291"/>
      <c r="B1107" s="218"/>
      <c r="C1107" s="248"/>
      <c r="D1107" s="157"/>
      <c r="E1107" s="31"/>
      <c r="F1107" s="46"/>
      <c r="G1107" s="47"/>
    </row>
    <row r="1108" spans="1:7" x14ac:dyDescent="0.2">
      <c r="A1108" s="291"/>
      <c r="B1108" s="218"/>
      <c r="C1108" s="248"/>
      <c r="D1108" s="157"/>
      <c r="E1108" s="31"/>
      <c r="F1108" s="46"/>
      <c r="G1108" s="47"/>
    </row>
    <row r="1109" spans="1:7" x14ac:dyDescent="0.2">
      <c r="A1109" s="291"/>
      <c r="B1109" s="218"/>
      <c r="C1109" s="248"/>
      <c r="D1109" s="157"/>
      <c r="E1109" s="31"/>
      <c r="F1109" s="46"/>
      <c r="G1109" s="47"/>
    </row>
    <row r="1110" spans="1:7" x14ac:dyDescent="0.2">
      <c r="A1110" s="291"/>
      <c r="B1110" s="218"/>
      <c r="C1110" s="248"/>
      <c r="D1110" s="157"/>
      <c r="E1110" s="31"/>
      <c r="F1110" s="46"/>
      <c r="G1110" s="47"/>
    </row>
    <row r="1111" spans="1:7" x14ac:dyDescent="0.2">
      <c r="A1111" s="291"/>
      <c r="B1111" s="218"/>
      <c r="C1111" s="248"/>
      <c r="D1111" s="157"/>
      <c r="E1111" s="31"/>
      <c r="F1111" s="46"/>
      <c r="G1111" s="47"/>
    </row>
    <row r="1112" spans="1:7" x14ac:dyDescent="0.2">
      <c r="A1112" s="291"/>
      <c r="B1112" s="218"/>
      <c r="C1112" s="248"/>
      <c r="D1112" s="157"/>
      <c r="E1112" s="31"/>
      <c r="F1112" s="46"/>
      <c r="G1112" s="47"/>
    </row>
    <row r="1113" spans="1:7" x14ac:dyDescent="0.2">
      <c r="A1113" s="291"/>
      <c r="B1113" s="218"/>
      <c r="C1113" s="248"/>
      <c r="D1113" s="157"/>
      <c r="E1113" s="31"/>
      <c r="F1113" s="46"/>
      <c r="G1113" s="47"/>
    </row>
    <row r="1114" spans="1:7" x14ac:dyDescent="0.2">
      <c r="A1114" s="291"/>
      <c r="B1114" s="218"/>
      <c r="C1114" s="248"/>
      <c r="D1114" s="157"/>
      <c r="E1114" s="31"/>
      <c r="F1114" s="46"/>
      <c r="G1114" s="47"/>
    </row>
    <row r="1115" spans="1:7" x14ac:dyDescent="0.2">
      <c r="A1115" s="291"/>
      <c r="B1115" s="218"/>
      <c r="C1115" s="248"/>
      <c r="D1115" s="157"/>
      <c r="E1115" s="31"/>
      <c r="F1115" s="46"/>
      <c r="G1115" s="47"/>
    </row>
    <row r="1116" spans="1:7" x14ac:dyDescent="0.2">
      <c r="A1116" s="291"/>
      <c r="B1116" s="218"/>
      <c r="C1116" s="248"/>
      <c r="D1116" s="157"/>
      <c r="E1116" s="31"/>
      <c r="F1116" s="46"/>
      <c r="G1116" s="47"/>
    </row>
    <row r="1117" spans="1:7" x14ac:dyDescent="0.2">
      <c r="A1117" s="291"/>
      <c r="B1117" s="218"/>
      <c r="C1117" s="248"/>
      <c r="D1117" s="157"/>
      <c r="E1117" s="31"/>
      <c r="F1117" s="46"/>
      <c r="G1117" s="47"/>
    </row>
    <row r="1118" spans="1:7" x14ac:dyDescent="0.2">
      <c r="A1118" s="291"/>
      <c r="B1118" s="218"/>
      <c r="C1118" s="248"/>
      <c r="D1118" s="157"/>
      <c r="E1118" s="31"/>
      <c r="F1118" s="46"/>
      <c r="G1118" s="47"/>
    </row>
    <row r="1119" spans="1:7" x14ac:dyDescent="0.2">
      <c r="A1119" s="291"/>
      <c r="B1119" s="218"/>
      <c r="C1119" s="248"/>
      <c r="D1119" s="157"/>
      <c r="E1119" s="31"/>
      <c r="F1119" s="46"/>
      <c r="G1119" s="47"/>
    </row>
    <row r="1120" spans="1:7" x14ac:dyDescent="0.2">
      <c r="A1120" s="291"/>
      <c r="B1120" s="218"/>
      <c r="C1120" s="248"/>
      <c r="D1120" s="157"/>
      <c r="E1120" s="31"/>
      <c r="F1120" s="46"/>
      <c r="G1120" s="47"/>
    </row>
    <row r="1121" spans="1:7" x14ac:dyDescent="0.2">
      <c r="A1121" s="291"/>
      <c r="B1121" s="218"/>
      <c r="C1121" s="248"/>
      <c r="D1121" s="157"/>
      <c r="E1121" s="31"/>
      <c r="F1121" s="46"/>
      <c r="G1121" s="47"/>
    </row>
    <row r="1122" spans="1:7" x14ac:dyDescent="0.2">
      <c r="A1122" s="291"/>
      <c r="B1122" s="218"/>
      <c r="C1122" s="248"/>
      <c r="D1122" s="157"/>
      <c r="E1122" s="31"/>
      <c r="F1122" s="46"/>
      <c r="G1122" s="47"/>
    </row>
    <row r="1123" spans="1:7" x14ac:dyDescent="0.2">
      <c r="A1123" s="291"/>
      <c r="B1123" s="218"/>
      <c r="C1123" s="248"/>
      <c r="D1123" s="157"/>
      <c r="E1123" s="31"/>
      <c r="F1123" s="46"/>
      <c r="G1123" s="47"/>
    </row>
    <row r="1124" spans="1:7" x14ac:dyDescent="0.2">
      <c r="A1124" s="291"/>
      <c r="B1124" s="218"/>
      <c r="C1124" s="248"/>
      <c r="D1124" s="157"/>
      <c r="E1124" s="31"/>
      <c r="F1124" s="46"/>
      <c r="G1124" s="47"/>
    </row>
    <row r="1125" spans="1:7" x14ac:dyDescent="0.2">
      <c r="A1125" s="291"/>
      <c r="B1125" s="218"/>
      <c r="C1125" s="248"/>
      <c r="D1125" s="157"/>
      <c r="E1125" s="31"/>
      <c r="F1125" s="46"/>
      <c r="G1125" s="47"/>
    </row>
    <row r="1126" spans="1:7" x14ac:dyDescent="0.2">
      <c r="A1126" s="291"/>
      <c r="B1126" s="218"/>
      <c r="C1126" s="248"/>
      <c r="D1126" s="157"/>
      <c r="E1126" s="31"/>
      <c r="F1126" s="46"/>
      <c r="G1126" s="47"/>
    </row>
    <row r="1127" spans="1:7" x14ac:dyDescent="0.2">
      <c r="A1127" s="291"/>
      <c r="B1127" s="218"/>
      <c r="C1127" s="248"/>
      <c r="D1127" s="157"/>
      <c r="E1127" s="31"/>
      <c r="F1127" s="46"/>
      <c r="G1127" s="47"/>
    </row>
    <row r="1128" spans="1:7" x14ac:dyDescent="0.2">
      <c r="A1128" s="291"/>
      <c r="B1128" s="218"/>
      <c r="C1128" s="248"/>
      <c r="D1128" s="157"/>
      <c r="E1128" s="31"/>
      <c r="F1128" s="46"/>
      <c r="G1128" s="47"/>
    </row>
    <row r="1129" spans="1:7" ht="12.75" thickBot="1" x14ac:dyDescent="0.25">
      <c r="A1129" s="291"/>
      <c r="B1129" s="218"/>
      <c r="C1129" s="248"/>
      <c r="D1129" s="157"/>
      <c r="E1129" s="31"/>
      <c r="F1129" s="46"/>
      <c r="G1129" s="47"/>
    </row>
    <row r="1130" spans="1:7" x14ac:dyDescent="0.2">
      <c r="A1130" s="295"/>
      <c r="B1130" s="56" t="s">
        <v>524</v>
      </c>
      <c r="C1130" s="288"/>
      <c r="D1130" s="159"/>
      <c r="E1130" s="290"/>
      <c r="F1130" s="159"/>
      <c r="G1130" s="160"/>
    </row>
    <row r="1131" spans="1:7" ht="12.75" thickBot="1" x14ac:dyDescent="0.25">
      <c r="A1131" s="296"/>
      <c r="B1131" s="61" t="s">
        <v>319</v>
      </c>
      <c r="C1131" s="123"/>
      <c r="D1131" s="125"/>
      <c r="E1131" s="151"/>
      <c r="F1131" s="125"/>
      <c r="G1131" s="161">
        <f>SUM(G1077:G1130)</f>
        <v>0</v>
      </c>
    </row>
  </sheetData>
  <mergeCells count="20">
    <mergeCell ref="A1:G1"/>
    <mergeCell ref="B568:G568"/>
    <mergeCell ref="B707:E707"/>
    <mergeCell ref="B708:E708"/>
    <mergeCell ref="B709:E709"/>
    <mergeCell ref="B342:D342"/>
    <mergeCell ref="B343:D343"/>
    <mergeCell ref="B344:D344"/>
    <mergeCell ref="B460:E460"/>
    <mergeCell ref="B461:E461"/>
    <mergeCell ref="B462:E462"/>
    <mergeCell ref="B463:E463"/>
    <mergeCell ref="B860:F860"/>
    <mergeCell ref="B861:F861"/>
    <mergeCell ref="B710:E710"/>
    <mergeCell ref="B856:F856"/>
    <mergeCell ref="B857:F857"/>
    <mergeCell ref="B858:F858"/>
    <mergeCell ref="B859:F859"/>
    <mergeCell ref="B736:F736"/>
  </mergeCells>
  <pageMargins left="0.59055118110236227" right="0.59055118110236227" top="0.59055118110236227" bottom="0.59055118110236227" header="0.23622047244094491" footer="0.23622047244094491"/>
  <pageSetup scale="99" orientation="portrait" horizontalDpi="4294967293" verticalDpi="300" r:id="rId1"/>
  <headerFooter>
    <oddHeader>&amp;L&amp;8NILANDHOO SCHOOL&amp;R&amp;8     BILL OF QUANTITIES</oddHeader>
    <oddFooter>&amp;L&amp;8FEBRUAR,2017&amp;C&amp;8&amp;P&amp;R&amp;8Riyan(PVT)Ltd</oddFooter>
  </headerFooter>
  <rowBreaks count="1" manualBreakCount="1">
    <brk id="4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vt:lpstr>
      <vt:lpstr>Summary</vt:lpstr>
      <vt:lpstr>Boq</vt:lpstr>
      <vt:lpstr>Boq!Print_Area</vt:lpstr>
      <vt:lpstr>'Cover '!Print_Area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Shafeeulla Mohamed Rasheed</cp:lastModifiedBy>
  <cp:lastPrinted>2017-02-04T04:56:39Z</cp:lastPrinted>
  <dcterms:created xsi:type="dcterms:W3CDTF">2011-03-24T06:48:27Z</dcterms:created>
  <dcterms:modified xsi:type="dcterms:W3CDTF">2017-02-04T06:28:33Z</dcterms:modified>
</cp:coreProperties>
</file>