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Works\BoQ\BoQ 2020\Epoch associates pvt ltd\Multipurpose Hall at Sh Foakaidhoo BoQ\"/>
    </mc:Choice>
  </mc:AlternateContent>
  <bookViews>
    <workbookView xWindow="0" yWindow="0" windowWidth="19785" windowHeight="11145" activeTab="2"/>
  </bookViews>
  <sheets>
    <sheet name="Cover" sheetId="3" r:id="rId1"/>
    <sheet name="Summary" sheetId="2" r:id="rId2"/>
    <sheet name="Boq" sheetId="1" r:id="rId3"/>
  </sheets>
  <definedNames>
    <definedName name="_xlnm.Print_Area" localSheetId="2">Boq!$A$1:$G$796</definedName>
    <definedName name="_xlnm.Print_Area" localSheetId="0">Cover!$A$1:$A$34</definedName>
    <definedName name="_xlnm.Print_Area" localSheetId="1">Summary!$A$1:$C$22</definedName>
    <definedName name="_xlnm.Print_Titles" localSheetId="2">Boq!$3:$3</definedName>
  </definedNames>
  <calcPr calcId="152511"/>
</workbook>
</file>

<file path=xl/calcChain.xml><?xml version="1.0" encoding="utf-8"?>
<calcChain xmlns="http://schemas.openxmlformats.org/spreadsheetml/2006/main">
  <c r="G773" i="1" l="1"/>
  <c r="G723" i="1"/>
  <c r="G482" i="1"/>
  <c r="G468" i="1"/>
  <c r="G469" i="1"/>
  <c r="G463" i="1"/>
  <c r="G462" i="1"/>
  <c r="G445" i="1"/>
  <c r="G435" i="1"/>
  <c r="G404" i="1"/>
  <c r="G384" i="1"/>
  <c r="G667" i="1"/>
  <c r="G587" i="1"/>
  <c r="G542" i="1"/>
  <c r="G484" i="1"/>
  <c r="G483" i="1"/>
  <c r="G480" i="1"/>
  <c r="G481" i="1"/>
  <c r="G472" i="1"/>
  <c r="G471" i="1"/>
  <c r="G408" i="1"/>
  <c r="G370" i="1"/>
  <c r="I370" i="1"/>
  <c r="J230" i="1"/>
  <c r="J229" i="1"/>
  <c r="J228" i="1"/>
  <c r="G228" i="1"/>
  <c r="B159" i="1"/>
  <c r="B160" i="1"/>
  <c r="B161" i="1"/>
  <c r="B158" i="1"/>
  <c r="J161" i="1"/>
  <c r="J117" i="1"/>
  <c r="G117" i="1"/>
  <c r="G161" i="1" l="1"/>
  <c r="I233" i="1"/>
  <c r="I229" i="1"/>
  <c r="G229" i="1"/>
  <c r="I480" i="1"/>
  <c r="G233" i="1" l="1"/>
  <c r="G230" i="1"/>
  <c r="G146" i="1"/>
  <c r="G697" i="1"/>
  <c r="G696" i="1"/>
  <c r="G695" i="1"/>
  <c r="G604" i="1"/>
  <c r="G583" i="1"/>
  <c r="G584" i="1"/>
  <c r="G585" i="1"/>
  <c r="G586" i="1"/>
  <c r="G588" i="1"/>
  <c r="G541" i="1"/>
  <c r="G476" i="1"/>
  <c r="G470" i="1"/>
  <c r="G461" i="1"/>
  <c r="G393" i="1"/>
  <c r="G392" i="1"/>
  <c r="I376" i="1"/>
  <c r="G376" i="1"/>
  <c r="I375" i="1"/>
  <c r="G375" i="1"/>
  <c r="I374" i="1"/>
  <c r="G374" i="1"/>
  <c r="L373" i="1"/>
  <c r="K373" i="1"/>
  <c r="J373" i="1"/>
  <c r="I373" i="1"/>
  <c r="G373" i="1"/>
  <c r="G442" i="1"/>
  <c r="G443" i="1"/>
  <c r="G444" i="1"/>
  <c r="G446" i="1"/>
  <c r="I446" i="1"/>
  <c r="I444" i="1"/>
  <c r="I443" i="1"/>
  <c r="I442" i="1"/>
  <c r="G437" i="1"/>
  <c r="G439" i="1"/>
  <c r="I439" i="1"/>
  <c r="I438" i="1"/>
  <c r="I437" i="1"/>
  <c r="J254" i="1"/>
  <c r="J253" i="1"/>
  <c r="J257" i="1"/>
  <c r="J256" i="1"/>
  <c r="J251" i="1"/>
  <c r="J250" i="1"/>
  <c r="J248" i="1"/>
  <c r="J247" i="1"/>
  <c r="J255" i="1"/>
  <c r="G255" i="1"/>
  <c r="J252" i="1"/>
  <c r="G252" i="1"/>
  <c r="I249" i="1"/>
  <c r="J249" i="1" s="1"/>
  <c r="G249" i="1"/>
  <c r="I246" i="1"/>
  <c r="J246" i="1" s="1"/>
  <c r="G246" i="1"/>
  <c r="J243" i="1"/>
  <c r="J242" i="1"/>
  <c r="I241" i="1"/>
  <c r="G241" i="1"/>
  <c r="J240" i="1"/>
  <c r="J239" i="1"/>
  <c r="Q238" i="1"/>
  <c r="R238" i="1" s="1"/>
  <c r="I238" i="1"/>
  <c r="G238" i="1"/>
  <c r="J237" i="1"/>
  <c r="J236" i="1"/>
  <c r="Q235" i="1"/>
  <c r="R235" i="1" s="1"/>
  <c r="I235" i="1"/>
  <c r="G235" i="1"/>
  <c r="J227" i="1"/>
  <c r="J226" i="1"/>
  <c r="J224" i="1"/>
  <c r="J223" i="1"/>
  <c r="J222" i="1"/>
  <c r="J219" i="1"/>
  <c r="J220" i="1"/>
  <c r="J218" i="1"/>
  <c r="J225" i="1"/>
  <c r="G225" i="1"/>
  <c r="I221" i="1"/>
  <c r="J221" i="1" s="1"/>
  <c r="G221" i="1"/>
  <c r="I217" i="1"/>
  <c r="J217" i="1" s="1"/>
  <c r="G217" i="1"/>
  <c r="J210" i="1"/>
  <c r="J209" i="1"/>
  <c r="J207" i="1"/>
  <c r="J206" i="1"/>
  <c r="J204" i="1"/>
  <c r="J203" i="1"/>
  <c r="I208" i="1"/>
  <c r="G208" i="1"/>
  <c r="Q205" i="1"/>
  <c r="R205" i="1" s="1"/>
  <c r="I205" i="1"/>
  <c r="G205" i="1"/>
  <c r="Q202" i="1"/>
  <c r="R202" i="1" s="1"/>
  <c r="I202" i="1"/>
  <c r="G202" i="1"/>
  <c r="J199" i="1"/>
  <c r="J198" i="1"/>
  <c r="J196" i="1"/>
  <c r="J195" i="1"/>
  <c r="J193" i="1"/>
  <c r="J191" i="1"/>
  <c r="J189" i="1"/>
  <c r="J187" i="1"/>
  <c r="I197" i="1"/>
  <c r="J197" i="1" s="1"/>
  <c r="G197" i="1"/>
  <c r="I194" i="1"/>
  <c r="J194" i="1" s="1"/>
  <c r="G194" i="1"/>
  <c r="G192" i="1"/>
  <c r="G190" i="1"/>
  <c r="G188" i="1"/>
  <c r="G186" i="1"/>
  <c r="J174" i="1"/>
  <c r="G174" i="1"/>
  <c r="J173" i="1"/>
  <c r="I172" i="1"/>
  <c r="J172" i="1" s="1"/>
  <c r="G172" i="1"/>
  <c r="I171" i="1"/>
  <c r="J171" i="1" s="1"/>
  <c r="I168" i="1"/>
  <c r="Q167" i="1"/>
  <c r="R167" i="1" s="1"/>
  <c r="I167" i="1"/>
  <c r="G167" i="1"/>
  <c r="Q166" i="1"/>
  <c r="R166" i="1" s="1"/>
  <c r="I166" i="1"/>
  <c r="G166" i="1"/>
  <c r="G120" i="1"/>
  <c r="J164" i="1"/>
  <c r="I164" i="1"/>
  <c r="G164" i="1"/>
  <c r="J163" i="1"/>
  <c r="I163" i="1"/>
  <c r="G163" i="1"/>
  <c r="J160" i="1"/>
  <c r="I159" i="1"/>
  <c r="J159" i="1" s="1"/>
  <c r="I158" i="1"/>
  <c r="J158" i="1" s="1"/>
  <c r="G150" i="1"/>
  <c r="G151" i="1"/>
  <c r="I151" i="1"/>
  <c r="Q150" i="1"/>
  <c r="R150" i="1" s="1"/>
  <c r="I150" i="1"/>
  <c r="Q149" i="1"/>
  <c r="R149" i="1" s="1"/>
  <c r="I149" i="1"/>
  <c r="I146" i="1"/>
  <c r="J146" i="1" s="1"/>
  <c r="I145" i="1"/>
  <c r="J145" i="1" s="1"/>
  <c r="I128" i="1"/>
  <c r="J128" i="1" s="1"/>
  <c r="G128" i="1"/>
  <c r="J129" i="1"/>
  <c r="J130" i="1"/>
  <c r="G130" i="1"/>
  <c r="I127" i="1"/>
  <c r="J127" i="1" s="1"/>
  <c r="G127" i="1"/>
  <c r="I124" i="1"/>
  <c r="G124" i="1"/>
  <c r="Q123" i="1"/>
  <c r="R123" i="1" s="1"/>
  <c r="I123" i="1"/>
  <c r="G123" i="1"/>
  <c r="Q122" i="1"/>
  <c r="R122" i="1" s="1"/>
  <c r="I122" i="1"/>
  <c r="G122" i="1"/>
  <c r="J120" i="1"/>
  <c r="I120" i="1"/>
  <c r="Q106" i="1"/>
  <c r="R106" i="1" s="1"/>
  <c r="Q105" i="1"/>
  <c r="R105" i="1" s="1"/>
  <c r="I230" i="1" l="1"/>
  <c r="G493" i="1"/>
  <c r="C11" i="2" s="1"/>
  <c r="M373" i="1"/>
  <c r="J439" i="1"/>
  <c r="J443" i="1"/>
  <c r="J437" i="1"/>
  <c r="J438" i="1"/>
  <c r="J444" i="1"/>
  <c r="L445" i="1" s="1"/>
  <c r="J442" i="1"/>
  <c r="J446" i="1"/>
  <c r="G438" i="1"/>
  <c r="I253" i="1"/>
  <c r="I256" i="1"/>
  <c r="G256" i="1"/>
  <c r="I250" i="1"/>
  <c r="G250" i="1"/>
  <c r="I247" i="1"/>
  <c r="G247" i="1"/>
  <c r="R241" i="1"/>
  <c r="G242" i="1"/>
  <c r="G236" i="1"/>
  <c r="I239" i="1"/>
  <c r="G239" i="1"/>
  <c r="G219" i="1"/>
  <c r="I223" i="1"/>
  <c r="I226" i="1"/>
  <c r="G226" i="1"/>
  <c r="I222" i="1"/>
  <c r="G222" i="1"/>
  <c r="I218" i="1"/>
  <c r="G218" i="1"/>
  <c r="G187" i="1"/>
  <c r="I195" i="1"/>
  <c r="R208" i="1"/>
  <c r="I203" i="1"/>
  <c r="I209" i="1"/>
  <c r="G209" i="1"/>
  <c r="I206" i="1"/>
  <c r="G206" i="1"/>
  <c r="I198" i="1"/>
  <c r="G198" i="1"/>
  <c r="R124" i="1"/>
  <c r="G171" i="1"/>
  <c r="G193" i="1"/>
  <c r="I191" i="1"/>
  <c r="I189" i="1"/>
  <c r="R151" i="1"/>
  <c r="K163" i="1"/>
  <c r="L163" i="1" s="1"/>
  <c r="G173" i="1"/>
  <c r="K164" i="1"/>
  <c r="L164" i="1" s="1"/>
  <c r="R168" i="1"/>
  <c r="G168" i="1"/>
  <c r="G160" i="1"/>
  <c r="G159" i="1"/>
  <c r="G158" i="1"/>
  <c r="G144" i="1"/>
  <c r="G149" i="1"/>
  <c r="G143" i="1"/>
  <c r="G141" i="1"/>
  <c r="G142" i="1"/>
  <c r="G145" i="1"/>
  <c r="G129" i="1"/>
  <c r="K120" i="1"/>
  <c r="L120" i="1" s="1"/>
  <c r="R107" i="1"/>
  <c r="G107" i="1"/>
  <c r="I107" i="1"/>
  <c r="I72" i="1"/>
  <c r="J72" i="1" s="1"/>
  <c r="G72" i="1"/>
  <c r="I71" i="1"/>
  <c r="J71" i="1" s="1"/>
  <c r="G71" i="1"/>
  <c r="G100" i="1"/>
  <c r="G99" i="1"/>
  <c r="G98" i="1"/>
  <c r="G97" i="1"/>
  <c r="G68" i="1"/>
  <c r="G69" i="1"/>
  <c r="G70" i="1"/>
  <c r="G203" i="1" l="1"/>
  <c r="I257" i="1"/>
  <c r="G253" i="1"/>
  <c r="K442" i="1"/>
  <c r="I219" i="1"/>
  <c r="G254" i="1"/>
  <c r="I193" i="1"/>
  <c r="I251" i="1"/>
  <c r="I236" i="1"/>
  <c r="I240" i="1"/>
  <c r="I227" i="1"/>
  <c r="I242" i="1"/>
  <c r="G237" i="1"/>
  <c r="I237" i="1"/>
  <c r="I243" i="1"/>
  <c r="G243" i="1"/>
  <c r="G223" i="1"/>
  <c r="I224" i="1"/>
  <c r="G220" i="1"/>
  <c r="I207" i="1"/>
  <c r="G199" i="1"/>
  <c r="I187" i="1"/>
  <c r="I204" i="1"/>
  <c r="G204" i="1"/>
  <c r="G196" i="1"/>
  <c r="I196" i="1"/>
  <c r="G195" i="1"/>
  <c r="G191" i="1"/>
  <c r="G189" i="1"/>
  <c r="I330" i="1"/>
  <c r="G257" i="1" l="1"/>
  <c r="G251" i="1"/>
  <c r="I254" i="1"/>
  <c r="I248" i="1"/>
  <c r="G248" i="1"/>
  <c r="G240" i="1"/>
  <c r="G227" i="1"/>
  <c r="G224" i="1"/>
  <c r="I220" i="1"/>
  <c r="G207" i="1"/>
  <c r="I199" i="1"/>
  <c r="I210" i="1"/>
  <c r="G210" i="1"/>
  <c r="G22" i="1"/>
  <c r="G23" i="1"/>
  <c r="G24" i="1"/>
  <c r="G25" i="1"/>
  <c r="G26" i="1"/>
  <c r="G27" i="1"/>
  <c r="G796" i="1" l="1"/>
  <c r="C18" i="2" s="1"/>
  <c r="G750" i="1"/>
  <c r="G765" i="1" s="1"/>
  <c r="C17" i="2" s="1"/>
  <c r="G688" i="1"/>
  <c r="G687" i="1"/>
  <c r="G686" i="1"/>
  <c r="G685" i="1"/>
  <c r="G673" i="1"/>
  <c r="G672" i="1"/>
  <c r="G645" i="1"/>
  <c r="G644" i="1"/>
  <c r="G658" i="1"/>
  <c r="I77" i="1"/>
  <c r="J111" i="1"/>
  <c r="G602" i="1"/>
  <c r="I549" i="1"/>
  <c r="I548" i="1"/>
  <c r="I544" i="1"/>
  <c r="I543" i="1"/>
  <c r="J543" i="1" s="1"/>
  <c r="L339" i="1"/>
  <c r="M339" i="1" s="1"/>
  <c r="N339" i="1" s="1"/>
  <c r="M337" i="1"/>
  <c r="I269" i="1"/>
  <c r="J269" i="1" s="1"/>
  <c r="I509" i="1"/>
  <c r="I476" i="1"/>
  <c r="K389" i="1"/>
  <c r="I389" i="1"/>
  <c r="J389" i="1" s="1"/>
  <c r="I369" i="1"/>
  <c r="G369" i="1"/>
  <c r="I368" i="1"/>
  <c r="L367" i="1"/>
  <c r="K367" i="1"/>
  <c r="J367" i="1"/>
  <c r="I367" i="1"/>
  <c r="I366" i="1"/>
  <c r="K340" i="1"/>
  <c r="I340" i="1"/>
  <c r="J340" i="1" s="1"/>
  <c r="I318" i="1"/>
  <c r="I339" i="1"/>
  <c r="J339" i="1" s="1"/>
  <c r="I336" i="1"/>
  <c r="J336" i="1" s="1"/>
  <c r="L336" i="1" s="1"/>
  <c r="M336" i="1" s="1"/>
  <c r="P336" i="1"/>
  <c r="Q336" i="1" s="1"/>
  <c r="N336" i="1"/>
  <c r="P337" i="1"/>
  <c r="I337" i="1"/>
  <c r="P331" i="1"/>
  <c r="P330" i="1"/>
  <c r="Q330" i="1" s="1"/>
  <c r="L333" i="1"/>
  <c r="M333" i="1" s="1"/>
  <c r="N333" i="1" s="1"/>
  <c r="I334" i="1"/>
  <c r="J334" i="1" s="1"/>
  <c r="I333" i="1"/>
  <c r="J333" i="1" s="1"/>
  <c r="K334" i="1"/>
  <c r="I312" i="1"/>
  <c r="J312" i="1" s="1"/>
  <c r="L312" i="1" s="1"/>
  <c r="M312" i="1" s="1"/>
  <c r="I308" i="1"/>
  <c r="J308" i="1" s="1"/>
  <c r="J330" i="1"/>
  <c r="L330" i="1" s="1"/>
  <c r="M330" i="1" s="1"/>
  <c r="N330" i="1"/>
  <c r="I331" i="1"/>
  <c r="I314" i="1"/>
  <c r="J314" i="1" s="1"/>
  <c r="I306" i="1"/>
  <c r="J306" i="1" s="1"/>
  <c r="G314" i="1"/>
  <c r="G313" i="1"/>
  <c r="G312" i="1"/>
  <c r="G311" i="1"/>
  <c r="I436" i="1"/>
  <c r="I434" i="1"/>
  <c r="I433" i="1"/>
  <c r="I432" i="1"/>
  <c r="J271" i="1"/>
  <c r="I271" i="1"/>
  <c r="K267" i="1"/>
  <c r="I267" i="1"/>
  <c r="J267" i="1"/>
  <c r="G271" i="1"/>
  <c r="G270" i="1"/>
  <c r="G269" i="1"/>
  <c r="G268" i="1"/>
  <c r="G267" i="1"/>
  <c r="G266" i="1"/>
  <c r="G265" i="1"/>
  <c r="G386" i="1" l="1"/>
  <c r="L389" i="1"/>
  <c r="O330" i="1"/>
  <c r="Q331" i="1" s="1"/>
  <c r="M367" i="1"/>
  <c r="L334" i="1"/>
  <c r="N334" i="1" s="1"/>
  <c r="O334" i="1" s="1"/>
  <c r="O336" i="1"/>
  <c r="Q337" i="1" s="1"/>
  <c r="N337" i="1" s="1"/>
  <c r="L340" i="1"/>
  <c r="N340" i="1" s="1"/>
  <c r="O340" i="1" s="1"/>
  <c r="M267" i="1"/>
  <c r="K271" i="1"/>
  <c r="I106" i="1" l="1"/>
  <c r="I105" i="1"/>
  <c r="J155" i="1" l="1"/>
  <c r="I155" i="1"/>
  <c r="J119" i="1"/>
  <c r="I119" i="1"/>
  <c r="G732" i="1"/>
  <c r="G731" i="1"/>
  <c r="G730" i="1"/>
  <c r="G729" i="1"/>
  <c r="G728" i="1"/>
  <c r="G727" i="1"/>
  <c r="G726" i="1"/>
  <c r="G722" i="1"/>
  <c r="G721" i="1"/>
  <c r="G720" i="1"/>
  <c r="G719" i="1"/>
  <c r="G718" i="1"/>
  <c r="G717" i="1"/>
  <c r="G716" i="1"/>
  <c r="G715" i="1"/>
  <c r="G694" i="1"/>
  <c r="G693" i="1"/>
  <c r="G692" i="1"/>
  <c r="G684" i="1"/>
  <c r="G683" i="1"/>
  <c r="G682" i="1"/>
  <c r="G681" i="1"/>
  <c r="G680" i="1"/>
  <c r="G679" i="1"/>
  <c r="G678" i="1"/>
  <c r="G677" i="1"/>
  <c r="G676" i="1"/>
  <c r="G675" i="1"/>
  <c r="G666" i="1"/>
  <c r="G665" i="1"/>
  <c r="G664" i="1"/>
  <c r="G661" i="1"/>
  <c r="G660" i="1"/>
  <c r="G659" i="1"/>
  <c r="G657" i="1"/>
  <c r="G656" i="1"/>
  <c r="G655" i="1"/>
  <c r="G654" i="1"/>
  <c r="G653" i="1"/>
  <c r="G652" i="1"/>
  <c r="G651" i="1"/>
  <c r="G650" i="1"/>
  <c r="G649" i="1"/>
  <c r="G648" i="1"/>
  <c r="G642" i="1"/>
  <c r="G609" i="1"/>
  <c r="G600" i="1"/>
  <c r="G599" i="1"/>
  <c r="G592" i="1"/>
  <c r="G591" i="1"/>
  <c r="G590" i="1"/>
  <c r="G580" i="1"/>
  <c r="G579" i="1"/>
  <c r="G578" i="1"/>
  <c r="G576" i="1"/>
  <c r="G575" i="1"/>
  <c r="G574" i="1"/>
  <c r="G549" i="1"/>
  <c r="G548" i="1"/>
  <c r="G547" i="1"/>
  <c r="G544" i="1"/>
  <c r="G543" i="1"/>
  <c r="G540" i="1"/>
  <c r="G539" i="1"/>
  <c r="G537" i="1"/>
  <c r="G509" i="1"/>
  <c r="G504" i="1"/>
  <c r="J509" i="1"/>
  <c r="J436" i="1"/>
  <c r="G436" i="1"/>
  <c r="J434" i="1"/>
  <c r="G434" i="1"/>
  <c r="J433" i="1"/>
  <c r="G433" i="1"/>
  <c r="J432" i="1"/>
  <c r="G432" i="1"/>
  <c r="G397" i="1"/>
  <c r="G389" i="1"/>
  <c r="G372" i="1"/>
  <c r="K371" i="1"/>
  <c r="J371" i="1"/>
  <c r="I371" i="1"/>
  <c r="G371" i="1"/>
  <c r="G368" i="1"/>
  <c r="G367" i="1"/>
  <c r="G366" i="1"/>
  <c r="G365" i="1"/>
  <c r="O346" i="1"/>
  <c r="N346" i="1"/>
  <c r="M346" i="1"/>
  <c r="L346" i="1"/>
  <c r="K346" i="1"/>
  <c r="G345" i="1"/>
  <c r="G344" i="1"/>
  <c r="G343" i="1"/>
  <c r="G340" i="1"/>
  <c r="G339" i="1"/>
  <c r="G338" i="1"/>
  <c r="G337" i="1"/>
  <c r="G334" i="1"/>
  <c r="G333" i="1"/>
  <c r="G331" i="1"/>
  <c r="G330" i="1"/>
  <c r="G318" i="1"/>
  <c r="G317" i="1"/>
  <c r="G308" i="1"/>
  <c r="G307" i="1"/>
  <c r="G306" i="1"/>
  <c r="G305" i="1"/>
  <c r="G303" i="1"/>
  <c r="G275" i="1"/>
  <c r="G274" i="1"/>
  <c r="G272" i="1"/>
  <c r="G244" i="1"/>
  <c r="I232" i="1"/>
  <c r="G232" i="1"/>
  <c r="G215" i="1"/>
  <c r="I214" i="1"/>
  <c r="G214" i="1"/>
  <c r="I212" i="1"/>
  <c r="G212" i="1"/>
  <c r="G200" i="1"/>
  <c r="G162" i="1"/>
  <c r="G155" i="1"/>
  <c r="G154" i="1"/>
  <c r="G153" i="1"/>
  <c r="G152" i="1"/>
  <c r="M135" i="1"/>
  <c r="J116" i="1"/>
  <c r="I115" i="1"/>
  <c r="J115" i="1" s="1"/>
  <c r="I114" i="1"/>
  <c r="G211" i="1" l="1"/>
  <c r="G546" i="1"/>
  <c r="G513" i="1"/>
  <c r="G582" i="1"/>
  <c r="G581" i="1"/>
  <c r="G662" i="1"/>
  <c r="G213" i="1"/>
  <c r="G507" i="1"/>
  <c r="G385" i="1"/>
  <c r="G503" i="1"/>
  <c r="G231" i="1"/>
  <c r="G346" i="1"/>
  <c r="G502" i="1"/>
  <c r="G508" i="1"/>
  <c r="G545" i="1"/>
  <c r="G689" i="1"/>
  <c r="I504" i="1"/>
  <c r="I303" i="1"/>
  <c r="J303" i="1" s="1"/>
  <c r="K231" i="1"/>
  <c r="L231" i="1" s="1"/>
  <c r="M231" i="1" s="1"/>
  <c r="N231" i="1" s="1"/>
  <c r="O231" i="1" s="1"/>
  <c r="K119" i="1"/>
  <c r="L119" i="1" s="1"/>
  <c r="P346" i="1"/>
  <c r="G740" i="1"/>
  <c r="C16" i="2" s="1"/>
  <c r="K155" i="1"/>
  <c r="K432" i="1"/>
  <c r="G328" i="1"/>
  <c r="G451" i="1"/>
  <c r="C10" i="2" s="1"/>
  <c r="L435" i="1"/>
  <c r="L371" i="1"/>
  <c r="G357" i="1" l="1"/>
  <c r="C8" i="2" s="1"/>
  <c r="G630" i="1"/>
  <c r="C14" i="2" s="1"/>
  <c r="G703" i="1"/>
  <c r="C15" i="2" s="1"/>
  <c r="G562" i="1"/>
  <c r="C13" i="2" s="1"/>
  <c r="G512" i="1"/>
  <c r="G511" i="1"/>
  <c r="G273" i="1"/>
  <c r="L306" i="1"/>
  <c r="M306" i="1" s="1"/>
  <c r="G529" i="1" l="1"/>
  <c r="C12" i="2" s="1"/>
  <c r="G419" i="1"/>
  <c r="C9" i="2" s="1"/>
  <c r="I111" i="1"/>
  <c r="I102" i="1"/>
  <c r="I101" i="1"/>
  <c r="J101" i="1" s="1"/>
  <c r="J93" i="1"/>
  <c r="I94" i="1"/>
  <c r="J94" i="1" s="1"/>
  <c r="P93" i="1"/>
  <c r="O93" i="1"/>
  <c r="N93" i="1"/>
  <c r="M93" i="1"/>
  <c r="L93" i="1"/>
  <c r="K93" i="1"/>
  <c r="I93" i="1"/>
  <c r="I66" i="1"/>
  <c r="K65" i="1"/>
  <c r="P65" i="1"/>
  <c r="O65" i="1"/>
  <c r="N65" i="1"/>
  <c r="M65" i="1"/>
  <c r="L65" i="1"/>
  <c r="J65" i="1"/>
  <c r="I65" i="1"/>
  <c r="K111" i="1" l="1"/>
  <c r="J66" i="1"/>
  <c r="Q65" i="1"/>
  <c r="R65" i="1" s="1"/>
  <c r="Q93" i="1"/>
  <c r="R93" i="1" s="1"/>
  <c r="L94" i="1" s="1"/>
  <c r="L111" i="1" l="1"/>
  <c r="K214" i="1"/>
  <c r="L214" i="1" s="1"/>
  <c r="M214" i="1" s="1"/>
  <c r="L66" i="1"/>
  <c r="J114" i="1" l="1"/>
  <c r="G119" i="1"/>
  <c r="G118" i="1"/>
  <c r="G116" i="1"/>
  <c r="G115" i="1"/>
  <c r="G114" i="1"/>
  <c r="G111" i="1"/>
  <c r="G110" i="1"/>
  <c r="J102" i="1"/>
  <c r="I59" i="1"/>
  <c r="G102" i="1" l="1"/>
  <c r="G101" i="1"/>
  <c r="I62" i="1" l="1"/>
  <c r="G32" i="1"/>
  <c r="G106" i="1" l="1"/>
  <c r="G105" i="1"/>
  <c r="G109" i="1" l="1"/>
  <c r="G108" i="1"/>
  <c r="G94" i="1"/>
  <c r="G82" i="1"/>
  <c r="G81" i="1"/>
  <c r="G80" i="1"/>
  <c r="G79" i="1"/>
  <c r="G78" i="1"/>
  <c r="G77" i="1"/>
  <c r="G73" i="1"/>
  <c r="G67" i="1"/>
  <c r="G66" i="1"/>
  <c r="G65" i="1"/>
  <c r="G64" i="1"/>
  <c r="G63" i="1"/>
  <c r="G62" i="1"/>
  <c r="G61" i="1"/>
  <c r="G60" i="1"/>
  <c r="G59" i="1"/>
  <c r="G58" i="1"/>
  <c r="G292" i="1" l="1"/>
  <c r="C7" i="2" s="1"/>
  <c r="G31" i="1" l="1"/>
  <c r="G30" i="1"/>
  <c r="G28" i="1"/>
  <c r="G51" i="1" l="1"/>
  <c r="C5" i="2" s="1"/>
  <c r="G86" i="1" l="1"/>
  <c r="C6" i="2" s="1"/>
  <c r="C20" i="2" l="1"/>
  <c r="C21" i="2" s="1"/>
  <c r="C22" i="2" s="1"/>
  <c r="F20" i="2" l="1"/>
  <c r="F19" i="2"/>
</calcChain>
</file>

<file path=xl/sharedStrings.xml><?xml version="1.0" encoding="utf-8"?>
<sst xmlns="http://schemas.openxmlformats.org/spreadsheetml/2006/main" count="1161" uniqueCount="489">
  <si>
    <t>Item</t>
  </si>
  <si>
    <t>Description</t>
  </si>
  <si>
    <t>Unit</t>
  </si>
  <si>
    <t>Qty</t>
  </si>
  <si>
    <t>Material
Rate</t>
  </si>
  <si>
    <t>Labour
Rate</t>
  </si>
  <si>
    <t>Total</t>
  </si>
  <si>
    <t>(1)</t>
  </si>
  <si>
    <t>nos</t>
  </si>
  <si>
    <t>kg</t>
  </si>
  <si>
    <t>2.2</t>
  </si>
  <si>
    <t>REINFORCEMENT WORK</t>
  </si>
  <si>
    <t>FORM WORK</t>
  </si>
  <si>
    <t>REINFORCED CONCRETE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</si>
  <si>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</si>
  <si>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</si>
  <si>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</si>
  <si>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</si>
  <si>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</si>
  <si>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</si>
  <si>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</si>
  <si>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</si>
  <si>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</si>
  <si>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</si>
  <si>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</si>
  <si>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</si>
  <si>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</si>
  <si>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</si>
  <si>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</si>
  <si>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</si>
  <si>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</si>
  <si>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</si>
  <si>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</si>
  <si>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</si>
  <si>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</si>
  <si>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</si>
  <si>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</si>
  <si>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</si>
  <si>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</si>
  <si>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</si>
  <si>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</si>
  <si>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</si>
  <si>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</si>
  <si>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</si>
  <si>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</si>
  <si>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</si>
  <si>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</si>
  <si>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</si>
  <si>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</si>
  <si>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</si>
  <si>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</si>
  <si>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</si>
  <si>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</si>
  <si>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</si>
  <si>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</si>
  <si>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</si>
  <si>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</si>
  <si>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</si>
  <si>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</si>
  <si>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</si>
  <si>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</si>
  <si>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</si>
  <si>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</si>
  <si>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</si>
  <si>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</si>
  <si>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</si>
  <si>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</si>
  <si>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</si>
  <si>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</si>
  <si>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</si>
  <si>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</si>
  <si>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</si>
  <si>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</si>
  <si>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</si>
  <si>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</si>
  <si>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</si>
  <si>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</si>
  <si>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</si>
  <si>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</si>
  <si>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</si>
  <si>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</si>
  <si>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</si>
  <si>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</si>
  <si>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</si>
  <si>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</si>
  <si>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</si>
  <si>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</si>
  <si>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</si>
  <si>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</si>
  <si>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</si>
  <si>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</si>
  <si>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</si>
  <si>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</si>
  <si>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</si>
  <si>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</si>
  <si>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</si>
  <si>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</si>
  <si>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</si>
  <si>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</si>
  <si>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</si>
  <si>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</si>
  <si>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</si>
  <si>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</si>
  <si>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</si>
  <si>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</si>
  <si>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</si>
  <si>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</si>
  <si>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</si>
  <si>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</si>
  <si>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</si>
  <si>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</si>
  <si>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</si>
  <si>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</si>
  <si>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</si>
  <si>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</si>
  <si>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</si>
  <si>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</si>
  <si>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</si>
  <si>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</si>
  <si>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</si>
  <si>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10.1</t>
  </si>
  <si>
    <t>RAILING</t>
  </si>
  <si>
    <t>TOTAL OF BILL No: 10 - Carried over to summary</t>
  </si>
  <si>
    <t>BILL No: 11</t>
  </si>
  <si>
    <t>HYDRAULICS &amp; DRAINAGE</t>
  </si>
  <si>
    <t>11.1</t>
  </si>
  <si>
    <t>HYDRAULICS</t>
  </si>
  <si>
    <t>SANITARY FIXTURES &amp;ACCESSORIES</t>
  </si>
  <si>
    <t>TOTAL OF BILL No: 11 - Carried over to summary</t>
  </si>
  <si>
    <t>(a) Exposed surface shall have fair finish while remaining may have rough finish.</t>
  </si>
  <si>
    <t>4.2</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</si>
  <si>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</si>
  <si>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</si>
  <si>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</si>
  <si>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</si>
  <si>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</si>
  <si>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</si>
  <si>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</si>
  <si>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</si>
  <si>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</si>
  <si>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</si>
  <si>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</si>
  <si>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</si>
  <si>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</si>
  <si>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</si>
  <si>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</si>
  <si>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</si>
  <si>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</si>
  <si>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</si>
  <si>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</si>
  <si>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</si>
  <si>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</si>
  <si>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</si>
  <si>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</si>
  <si>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</si>
  <si>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</si>
  <si>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</si>
  <si>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</si>
  <si>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</si>
  <si>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1.4</t>
  </si>
  <si>
    <t>SAFETY</t>
  </si>
  <si>
    <t>WOOD WORK &amp;  CEILING</t>
  </si>
  <si>
    <t>1 )</t>
  </si>
  <si>
    <t>2 )</t>
  </si>
  <si>
    <t>PREPARED BY</t>
  </si>
  <si>
    <t>5.4</t>
  </si>
  <si>
    <t>6.1</t>
  </si>
  <si>
    <t>7.2</t>
  </si>
  <si>
    <t>9.2</t>
  </si>
  <si>
    <t>COLUMNS</t>
  </si>
  <si>
    <t>TOTAL OF BILL No: 03 - Carried over to summary</t>
  </si>
  <si>
    <t>1.5</t>
  </si>
  <si>
    <t xml:space="preserve">                                                                                                                                                                                                                </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</si>
  <si>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</si>
  <si>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</si>
  <si>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</si>
  <si>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</si>
  <si>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</si>
  <si>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</si>
  <si>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</si>
  <si>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</si>
  <si>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</si>
  <si>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</si>
  <si>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</si>
  <si>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</si>
  <si>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</si>
  <si>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</si>
  <si>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</si>
  <si>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</si>
  <si>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</si>
  <si>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</si>
  <si>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</si>
  <si>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</si>
  <si>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</si>
  <si>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</si>
  <si>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</si>
  <si>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</si>
  <si>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</si>
  <si>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</si>
  <si>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</si>
  <si>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</si>
  <si>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Charges for Piping for  fresh water Pipe work</t>
  </si>
  <si>
    <t>Charges for Piping for Ground water supply pipe work.</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</si>
  <si>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</si>
  <si>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</si>
  <si>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</si>
  <si>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</si>
  <si>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</si>
  <si>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</si>
  <si>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</si>
  <si>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</si>
  <si>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</si>
  <si>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</si>
  <si>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</si>
  <si>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</si>
  <si>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</si>
  <si>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</si>
  <si>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</si>
  <si>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</si>
  <si>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</si>
  <si>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</si>
  <si>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</si>
  <si>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</si>
  <si>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</si>
  <si>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</si>
  <si>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</si>
  <si>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</si>
  <si>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</si>
  <si>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</si>
  <si>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</si>
  <si>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</si>
  <si>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</si>
  <si>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</si>
  <si>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</si>
  <si>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</si>
  <si>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</si>
  <si>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</si>
  <si>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</si>
  <si>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</si>
  <si>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</si>
  <si>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15mm thick Plastering</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</si>
  <si>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</si>
  <si>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</si>
  <si>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</si>
  <si>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</si>
  <si>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</si>
  <si>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 xml:space="preserve">Supply and Installation of STELCO approved Main Panel board with 7nos KWH meters. </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</si>
  <si>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</si>
  <si>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</si>
  <si>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</si>
  <si>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</si>
  <si>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</si>
  <si>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</si>
  <si>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</si>
  <si>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</si>
  <si>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</si>
  <si>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</si>
  <si>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</si>
  <si>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</si>
  <si>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</si>
  <si>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</si>
  <si>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</si>
  <si>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</si>
  <si>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50mm thick Cement/sand blinding layer (1:10 - Cement &amp; Local Sand mix) to receive damp proof membrane below ground floor slab</t>
  </si>
  <si>
    <t>100mm thick R.C. slab</t>
  </si>
  <si>
    <t>R.c.c. Staircase</t>
  </si>
  <si>
    <t>SLAB BEAMS</t>
  </si>
  <si>
    <t>FLOOR SLAB</t>
  </si>
  <si>
    <t>150mm thick R.c.c. Floor Slab</t>
  </si>
  <si>
    <t>SLAB BEAM</t>
  </si>
  <si>
    <t>20mm dia deformed bars - 6m</t>
  </si>
  <si>
    <t>WINDOW SILL &amp; LINTELS</t>
  </si>
  <si>
    <t xml:space="preserve">Charges for construction of R.c.c. Sills and Lintels for the windows and doors as per details. Rate shall include for shuttering and Reinforcement works complete. </t>
  </si>
  <si>
    <t>PARAPET WALL</t>
  </si>
  <si>
    <t>300x150x150mm solid block wall</t>
  </si>
  <si>
    <t>Interior walls</t>
  </si>
  <si>
    <t>External walls</t>
  </si>
  <si>
    <t>ABOVE ROOF BEAM</t>
  </si>
  <si>
    <t>External walls 150mm thick</t>
  </si>
  <si>
    <t xml:space="preserve">Internal surface of external wall </t>
  </si>
  <si>
    <t>Store</t>
  </si>
  <si>
    <t>Staircase</t>
  </si>
  <si>
    <t>ROOFING</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</si>
  <si>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</si>
  <si>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</si>
  <si>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</si>
  <si>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</si>
  <si>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</si>
  <si>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</si>
  <si>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</si>
  <si>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</si>
  <si>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Capping -  Supply and Fixing 600mm wide Lysaght Ridge Capping</t>
  </si>
  <si>
    <t>mtr</t>
  </si>
  <si>
    <t>Capping -  Supply and Fixing 600mm wide Lysaght Flashing at Gable ends</t>
  </si>
  <si>
    <t>Gutter - Supply and Fixing 150 x 200mm Lysaght Gutter complete including brackets and clips.</t>
  </si>
  <si>
    <t>WOOD WORK</t>
  </si>
  <si>
    <t>Timber Fascia Board: Supply and Fixing  25 x 250mm wide Timber Fascia board complete including Paint finishes.</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</si>
  <si>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</si>
  <si>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</si>
  <si>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</si>
  <si>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</si>
  <si>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</si>
  <si>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</si>
  <si>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</si>
  <si>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</si>
  <si>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</si>
  <si>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</si>
  <si>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</si>
  <si>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BILL No: 12 - FIRE FIGHTING SYSTEM</t>
  </si>
  <si>
    <t>TOTAL OF BILL No: 12 - Carried over to summary</t>
  </si>
  <si>
    <t>DOOR UNITS</t>
  </si>
  <si>
    <t>WASH BASIN COUNTER SLAB</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</si>
  <si>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</si>
  <si>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</si>
  <si>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14</t>
  </si>
  <si>
    <t>ADDITIONS</t>
  </si>
  <si>
    <t>OMISSIONS</t>
  </si>
  <si>
    <t>Provision  to include quantities as per the drawing which is missed in the bill of quantities.</t>
  </si>
  <si>
    <t>BILL No: 13</t>
  </si>
  <si>
    <t>TOTAL OF BILL No: 13 - Carried over to summary</t>
  </si>
  <si>
    <t>BILL No: 13 - ADDITIONS</t>
  </si>
  <si>
    <t>BILL No: 14</t>
  </si>
  <si>
    <t>BILL No: 14 - OMISSIONS</t>
  </si>
  <si>
    <t>TOTAL OF BILL No: 14 - Carried over to summary</t>
  </si>
  <si>
    <t>MINISTRY OF EDUCATION</t>
  </si>
  <si>
    <t>REPUBLIC OF MALDIVES</t>
  </si>
  <si>
    <t>CLIENT</t>
  </si>
  <si>
    <t>2.5</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</si>
  <si>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</si>
  <si>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</si>
  <si>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</si>
  <si>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</si>
  <si>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Toilet walls @ 3M height</t>
  </si>
  <si>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</si>
  <si>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</si>
  <si>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</si>
  <si>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</si>
  <si>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</si>
  <si>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</si>
  <si>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</si>
  <si>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10 )</t>
  </si>
  <si>
    <t xml:space="preserve">Supply and Installation of  STELCO approved brand Distribution board </t>
  </si>
  <si>
    <t>Cabling - Telephone  points</t>
  </si>
  <si>
    <t>Cabling - Data Network points (Cat 06)</t>
  </si>
  <si>
    <t>Cabling - Speaker System</t>
  </si>
  <si>
    <t>Provision to remove the excess quantity given in the bill quantities if any as per the drawing details</t>
  </si>
  <si>
    <t>(c) All Timber door frames shall be treated timber. Rate shall include for Paint/Varnish finish.</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</si>
  <si>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</si>
  <si>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a</t>
  </si>
  <si>
    <t>b</t>
  </si>
  <si>
    <t>b.1</t>
  </si>
  <si>
    <t>b.2</t>
  </si>
  <si>
    <t>Distribution board for Power Points</t>
  </si>
  <si>
    <t>Distribution board for Light Points</t>
  </si>
  <si>
    <t>a.1</t>
  </si>
  <si>
    <t>a.2</t>
  </si>
  <si>
    <t xml:space="preserve"> TOTAL           Mvr</t>
  </si>
  <si>
    <t>6% GST           Mvr</t>
  </si>
  <si>
    <t>GRAND TOTAL          Mvr</t>
  </si>
  <si>
    <t>GI. Railing  - Staircase</t>
  </si>
  <si>
    <t>(2)</t>
  </si>
  <si>
    <t>(3)</t>
  </si>
  <si>
    <t>Foundations F1</t>
  </si>
  <si>
    <t>Foundations F2</t>
  </si>
  <si>
    <t>Foundations F3</t>
  </si>
  <si>
    <t>(4)</t>
  </si>
  <si>
    <t>Foundations F4</t>
  </si>
  <si>
    <t>300mm thick highly compacted hard core from Ground floor to below ground floor slab</t>
  </si>
  <si>
    <t>Tie Beam TB</t>
  </si>
  <si>
    <t>Tie Beam WF</t>
  </si>
  <si>
    <t>C1</t>
  </si>
  <si>
    <t>C2</t>
  </si>
  <si>
    <t>C3</t>
  </si>
  <si>
    <t>B1</t>
  </si>
  <si>
    <t>B2</t>
  </si>
  <si>
    <t>B3</t>
  </si>
  <si>
    <t>B4</t>
  </si>
  <si>
    <t>160mm thick R.c.c. Floor Slab</t>
  </si>
  <si>
    <t>SECOND FLOOR</t>
  </si>
  <si>
    <t>B3 @ LR&amp; SRB</t>
  </si>
  <si>
    <t>B4 @ LR&amp; SRB</t>
  </si>
  <si>
    <t>(6)</t>
  </si>
  <si>
    <t>(7)</t>
  </si>
  <si>
    <t>6mm dia deformed bars - 6m</t>
  </si>
  <si>
    <t>150mm thick Solid block wall</t>
  </si>
  <si>
    <t>300 x150 x 150mm  solid block single wall - 150mm thick above all Tie beams.</t>
  </si>
  <si>
    <r>
      <t xml:space="preserve">300x150x150mm solid block </t>
    </r>
    <r>
      <rPr>
        <b/>
        <sz val="9"/>
        <color theme="1"/>
        <rFont val="Times New Roman"/>
        <family val="1"/>
      </rPr>
      <t>single</t>
    </r>
    <r>
      <rPr>
        <sz val="9"/>
        <color theme="1"/>
        <rFont val="Times New Roman"/>
        <family val="1"/>
      </rPr>
      <t xml:space="preserve"> wall - 150mm thick</t>
    </r>
  </si>
  <si>
    <t>11 )</t>
  </si>
  <si>
    <t>D01</t>
  </si>
  <si>
    <t>D02</t>
  </si>
  <si>
    <t>D04</t>
  </si>
  <si>
    <t>D05</t>
  </si>
  <si>
    <t>W01</t>
  </si>
  <si>
    <t>D03</t>
  </si>
  <si>
    <t xml:space="preserve">External surface of exeterior wall </t>
  </si>
  <si>
    <t>Changing room</t>
  </si>
  <si>
    <t xml:space="preserve">Corridor </t>
  </si>
  <si>
    <t>Cat walk</t>
  </si>
  <si>
    <t>Control room</t>
  </si>
  <si>
    <t>Store 1</t>
  </si>
  <si>
    <t>Store 2</t>
  </si>
  <si>
    <t>(c) Tiles rate shall be given as specified in the drawing.</t>
  </si>
  <si>
    <t>Controll Room</t>
  </si>
  <si>
    <t>Charges for supplying special tiles grout for fixing tiles to all floors.</t>
  </si>
  <si>
    <t>2)</t>
  </si>
  <si>
    <t xml:space="preserve">Supply, Fabrication and Fixing GI.S.Railing -Staircase as per details </t>
  </si>
  <si>
    <t>Roof Truss - Supply, Fabrication and Fixing Roof Trusses complete with  Base plates, Bolts, nuts, Washers etc including  Paint Finishes. Refer drawing details</t>
  </si>
  <si>
    <t>1)</t>
  </si>
  <si>
    <t>Basin Faucet</t>
  </si>
  <si>
    <t>Bidet Shower</t>
  </si>
  <si>
    <t>Wash Basin</t>
  </si>
  <si>
    <t>Water Closet</t>
  </si>
  <si>
    <t>Gate Valve</t>
  </si>
  <si>
    <t>Floor Drain</t>
  </si>
  <si>
    <t>Gully Trap</t>
  </si>
  <si>
    <t>Manhole</t>
  </si>
  <si>
    <t>Bottle Trap</t>
  </si>
  <si>
    <t>Clean Out Point</t>
  </si>
  <si>
    <t>Floor Gully</t>
  </si>
  <si>
    <t>Ceiling Light (12W)</t>
  </si>
  <si>
    <t>Ceiling Light (18W)</t>
  </si>
  <si>
    <t>Recessed Ceiling Light (12W)</t>
  </si>
  <si>
    <t>Weather Proof Wall Light IP55 (12W)</t>
  </si>
  <si>
    <t>Ceiling Mounted Exhaust Fan</t>
  </si>
  <si>
    <t>Light Switch (1 Gang )</t>
  </si>
  <si>
    <t>Light Switch (2 Gang )</t>
  </si>
  <si>
    <t>Light Switch (3 Gang )</t>
  </si>
  <si>
    <t>Light Switch (4 Gang )</t>
  </si>
  <si>
    <t>Light Switch (5 Gang )</t>
  </si>
  <si>
    <t>13A Power Socket</t>
  </si>
  <si>
    <t>13A Twin Socket</t>
  </si>
  <si>
    <t>Distribution Board</t>
  </si>
  <si>
    <t>Emergency Light</t>
  </si>
  <si>
    <t>Wall Mounted Speaker</t>
  </si>
  <si>
    <t>2 x 50W PLL Tube Light</t>
  </si>
  <si>
    <t>42 inch To 48 inch Ceiling Fan</t>
  </si>
  <si>
    <t>Computer Network Outlet</t>
  </si>
  <si>
    <t>Telephone Outlet</t>
  </si>
  <si>
    <t>Public Address System</t>
  </si>
  <si>
    <t>CO2 Extinguisher (load 2kg) In Polycarbonate Enclosure</t>
  </si>
  <si>
    <t>H2O Extinguisher (load 9L) In Polycarbonate Enclosure</t>
  </si>
  <si>
    <t>Manual Call Point</t>
  </si>
  <si>
    <t>Smoke Detector</t>
  </si>
  <si>
    <t>Beacon</t>
  </si>
  <si>
    <t>Sounder Bell</t>
  </si>
  <si>
    <t>End Of Line Resistance</t>
  </si>
  <si>
    <t>Exit Sign</t>
  </si>
  <si>
    <t>Fire Alarm Control Panel</t>
  </si>
  <si>
    <t>2.4.2</t>
  </si>
  <si>
    <t>STAGE WORK</t>
  </si>
  <si>
    <t>SRB</t>
  </si>
  <si>
    <t xml:space="preserve">Charges for Construction and  Installation of 75mm thick R.c.c. Counter slab for washbasin at Toilet block as per drawing details. Rate shall include for; form work, reinforcement etc complete. </t>
  </si>
  <si>
    <t>Charges for construction of 150mm Thick masonry parapet wall wit 25mm plaster on exterior and 16mm plaster on interior finished with semi gloss white paint. 150mm X 150mm (4T10, R6@100C/C) Stiffener columns @max 1.5m intervals.100mm x150mm (2T10, R6@100Hook) Capping beam on top Rate shall include for Shuttering and Reinforcement work complete.</t>
  </si>
  <si>
    <t>Multipurpose</t>
  </si>
  <si>
    <t>Balcony</t>
  </si>
  <si>
    <t>Changing Room</t>
  </si>
  <si>
    <t>Stores</t>
  </si>
  <si>
    <t>FLOOR PAINTING</t>
  </si>
  <si>
    <t>Catwalk</t>
  </si>
  <si>
    <t>Catwalk (Self Levelling cement for screed with epoxy floor paint)</t>
  </si>
  <si>
    <t>Multipurpose Hall (Self Levelling cement for screed with epoxy floor paint)</t>
  </si>
  <si>
    <t>(a) Rates shall include for: Painting , Leveling cleaning &amp; Polishing.</t>
  </si>
  <si>
    <t>V1</t>
  </si>
  <si>
    <t>V2</t>
  </si>
  <si>
    <t>D1</t>
  </si>
  <si>
    <t>D2A</t>
  </si>
  <si>
    <t>D3A</t>
  </si>
  <si>
    <t>V1A</t>
  </si>
  <si>
    <t xml:space="preserve">Multipurpose Hall </t>
  </si>
  <si>
    <t>Store room</t>
  </si>
  <si>
    <t>Grid D - H/2-3 &amp; Stair Void</t>
  </si>
  <si>
    <t>Hall stair as per stair detail</t>
  </si>
  <si>
    <t>75mm X 150mm 2.5mm Thick RHS @400 c/c</t>
  </si>
  <si>
    <t>Under Hall Store access door D6 as in Door and Window schedule</t>
  </si>
  <si>
    <t>150mm Thick solid block masonry wall with 150mm x150mm RC capping beam. 150mmThick solid block masonry wall with 25mm plastering on both sides</t>
  </si>
  <si>
    <t>Ramp as in the Drawing</t>
  </si>
  <si>
    <t>9.3</t>
  </si>
  <si>
    <t>BTR (36.7m)</t>
  </si>
  <si>
    <t>TR1 (17.7m)</t>
  </si>
  <si>
    <t>60.3 Ø X 3.2mm GI Pipe on top of sloping gable beam (18m)</t>
  </si>
  <si>
    <t>Supply and Fixing C - Purlins 50x100x2.5mm C purlins @ 900 C/C (36.7m)</t>
  </si>
  <si>
    <t>8)</t>
  </si>
  <si>
    <t>9)</t>
  </si>
  <si>
    <t>3.1.2</t>
  </si>
  <si>
    <t>3.1.3</t>
  </si>
  <si>
    <t>3.1.4</t>
  </si>
  <si>
    <t>MULTI-PURPOSE HALL, SH.FOAKAIDHOO</t>
  </si>
  <si>
    <t>PROJECT : SH. FOAKAIDHOO MULTIPURPOSE HALL</t>
  </si>
  <si>
    <t>PROJECT: SH. FOAKAIDHOO MULTIPURPOSE HALL</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</si>
</sst>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0_-;\-* #,##0.00_-;_-* &quot;-&quot;??_-;_-@_-"/>
    <numFmt numFmtId="165" formatCode="_(* #,##0.0_);_(* \(#,##0.0\);_(* &quot;-&quot;??_);_(@_)"/>
    <numFmt numFmtId="166" formatCode="_(* #,##0.000_);_(* \(#,##0.000\);_(* &quot;-&quot;???_);_(@_)"/>
  </numFmts>
  <fonts count="33"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10"/>
      <name val="Calibri"/>
      <family val="2"/>
      <scheme val="minor"/>
    </font>
    <font>
      <sz val="20"/>
      <color theme="1"/>
      <name val="Arial Black"/>
      <family val="2"/>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55">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386">
    <xf numFmtId="0" fontId="0" fillId="0" borderId="0" xfId="0"/>
    <xf numFmtId="49" fontId="3" fillId="2" borderId="6" xfId="0" applyNumberFormat="1" applyFont="1" applyFill="1" applyBorder="1"/>
    <xf numFmtId="0" fontId="3" fillId="2" borderId="6" xfId="0" applyFont="1" applyFill="1" applyBorder="1"/>
    <xf numFmtId="43" fontId="3" fillId="2" borderId="6" xfId="1" applyFont="1" applyFill="1" applyBorder="1"/>
    <xf numFmtId="49" fontId="6" fillId="2" borderId="7" xfId="0" applyNumberFormat="1" applyFont="1" applyFill="1" applyBorder="1"/>
    <xf numFmtId="0" fontId="6" fillId="2" borderId="8" xfId="0" applyFont="1" applyFill="1" applyBorder="1" applyAlignment="1">
      <alignment horizontal="center"/>
    </xf>
    <xf numFmtId="0" fontId="6" fillId="2" borderId="9" xfId="0"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43" fontId="7" fillId="2" borderId="12" xfId="1" applyFont="1" applyFill="1" applyBorder="1" applyAlignment="1">
      <alignment horizontal="center"/>
    </xf>
    <xf numFmtId="49" fontId="7" fillId="2" borderId="13" xfId="0" applyNumberFormat="1" applyFont="1" applyFill="1" applyBorder="1" applyAlignment="1">
      <alignment horizontal="center"/>
    </xf>
    <xf numFmtId="0" fontId="7" fillId="2" borderId="14" xfId="0" applyFont="1" applyFill="1" applyBorder="1" applyAlignment="1">
      <alignment horizontal="left"/>
    </xf>
    <xf numFmtId="43" fontId="7" fillId="2" borderId="15" xfId="1" applyFont="1" applyFill="1" applyBorder="1" applyAlignment="1">
      <alignment horizontal="center"/>
    </xf>
    <xf numFmtId="49" fontId="8" fillId="2" borderId="16" xfId="0" applyNumberFormat="1" applyFont="1" applyFill="1" applyBorder="1"/>
    <xf numFmtId="0" fontId="8" fillId="2" borderId="17" xfId="0" applyFont="1" applyFill="1" applyBorder="1"/>
    <xf numFmtId="0" fontId="9" fillId="2" borderId="18" xfId="0" applyFont="1" applyFill="1" applyBorder="1" applyAlignment="1">
      <alignment horizontal="center"/>
    </xf>
    <xf numFmtId="0" fontId="10" fillId="0" borderId="0" xfId="0" applyFont="1"/>
    <xf numFmtId="0" fontId="10" fillId="0" borderId="0" xfId="0" applyFont="1" applyAlignment="1">
      <alignment horizontal="center"/>
    </xf>
    <xf numFmtId="43" fontId="10" fillId="0" borderId="0" xfId="1" applyNumberFormat="1" applyFont="1"/>
    <xf numFmtId="0" fontId="10" fillId="0" borderId="0" xfId="0" applyFont="1" applyAlignment="1">
      <alignment horizontal="center" vertical="center"/>
    </xf>
    <xf numFmtId="43" fontId="11" fillId="3" borderId="1" xfId="1" applyNumberFormat="1" applyFont="1" applyFill="1" applyBorder="1" applyAlignment="1">
      <alignment horizontal="center"/>
    </xf>
    <xf numFmtId="43" fontId="10" fillId="0" borderId="0" xfId="0" applyNumberFormat="1" applyFont="1" applyAlignment="1">
      <alignment horizontal="center" vertical="center"/>
    </xf>
    <xf numFmtId="0" fontId="10" fillId="0" borderId="1" xfId="0" applyFont="1" applyBorder="1" applyAlignment="1">
      <alignment horizontal="center"/>
    </xf>
    <xf numFmtId="43" fontId="10" fillId="0" borderId="1" xfId="1" applyNumberFormat="1" applyFont="1" applyBorder="1"/>
    <xf numFmtId="43" fontId="10" fillId="0" borderId="1" xfId="1" applyFont="1" applyBorder="1"/>
    <xf numFmtId="43" fontId="10" fillId="0" borderId="2" xfId="1" applyFont="1" applyBorder="1"/>
    <xf numFmtId="43" fontId="10" fillId="0" borderId="0" xfId="0" applyNumberFormat="1" applyFont="1"/>
    <xf numFmtId="0" fontId="16" fillId="0" borderId="0" xfId="0" applyFont="1"/>
    <xf numFmtId="0" fontId="10" fillId="0" borderId="1" xfId="0" applyFont="1" applyBorder="1"/>
    <xf numFmtId="166" fontId="10" fillId="0" borderId="0" xfId="0" applyNumberFormat="1" applyFont="1"/>
    <xf numFmtId="0" fontId="10" fillId="0" borderId="0" xfId="0" applyFont="1" applyAlignment="1">
      <alignment vertical="top"/>
    </xf>
    <xf numFmtId="49" fontId="10" fillId="0" borderId="0" xfId="0" applyNumberFormat="1" applyFont="1"/>
    <xf numFmtId="165" fontId="10" fillId="0" borderId="1" xfId="1" applyNumberFormat="1" applyFont="1" applyBorder="1"/>
    <xf numFmtId="0" fontId="10" fillId="3" borderId="0" xfId="0" applyFont="1" applyFill="1"/>
    <xf numFmtId="0" fontId="10" fillId="0" borderId="4" xfId="0" applyFont="1" applyBorder="1" applyAlignment="1">
      <alignment horizontal="center" vertical="center"/>
    </xf>
    <xf numFmtId="43" fontId="10" fillId="0" borderId="4" xfId="0" applyNumberFormat="1" applyFont="1" applyBorder="1" applyAlignment="1">
      <alignment horizontal="center" vertical="center"/>
    </xf>
    <xf numFmtId="0" fontId="17" fillId="6" borderId="1" xfId="0" applyFont="1" applyFill="1" applyBorder="1"/>
    <xf numFmtId="43" fontId="16" fillId="6" borderId="1" xfId="1" applyNumberFormat="1" applyFont="1" applyFill="1" applyBorder="1"/>
    <xf numFmtId="0" fontId="0" fillId="0" borderId="0" xfId="0" applyAlignment="1">
      <alignment vertical="center"/>
    </xf>
    <xf numFmtId="43" fontId="16" fillId="0" borderId="1" xfId="1" applyNumberFormat="1" applyFont="1" applyBorder="1"/>
    <xf numFmtId="0" fontId="16" fillId="0" borderId="0" xfId="0" applyFont="1" applyAlignment="1">
      <alignment horizontal="center" vertical="center"/>
    </xf>
    <xf numFmtId="0" fontId="20" fillId="0" borderId="0" xfId="0" applyFont="1" applyAlignment="1">
      <alignment horizontal="center" vertical="center"/>
    </xf>
    <xf numFmtId="164" fontId="10" fillId="0" borderId="0" xfId="0" applyNumberFormat="1" applyFont="1"/>
    <xf numFmtId="0" fontId="10" fillId="0" borderId="0" xfId="0" applyFont="1" applyAlignment="1"/>
    <xf numFmtId="164" fontId="0" fillId="0" borderId="0" xfId="0" applyNumberFormat="1"/>
    <xf numFmtId="0" fontId="0" fillId="0" borderId="2" xfId="0" applyBorder="1" applyAlignment="1"/>
    <xf numFmtId="49" fontId="10" fillId="0" borderId="3" xfId="0" applyNumberFormat="1" applyFont="1" applyBorder="1" applyAlignment="1">
      <alignment horizontal="center" vertical="center"/>
    </xf>
    <xf numFmtId="49" fontId="10" fillId="0" borderId="19" xfId="0" applyNumberFormat="1" applyFont="1" applyBorder="1" applyAlignment="1">
      <alignment horizontal="center" vertical="center"/>
    </xf>
    <xf numFmtId="0" fontId="10" fillId="0" borderId="0" xfId="0" applyFont="1" applyAlignment="1">
      <alignment horizontal="center" vertical="top"/>
    </xf>
    <xf numFmtId="164" fontId="10" fillId="0" borderId="0" xfId="0" applyNumberFormat="1" applyFont="1" applyAlignment="1">
      <alignment horizontal="center" vertical="center"/>
    </xf>
    <xf numFmtId="43" fontId="10" fillId="0" borderId="0" xfId="0" applyNumberFormat="1" applyFont="1" applyAlignment="1"/>
    <xf numFmtId="0" fontId="11" fillId="2" borderId="1" xfId="2" applyNumberFormat="1" applyFont="1" applyFill="1" applyBorder="1" applyAlignment="1">
      <alignment horizontal="left" wrapText="1"/>
    </xf>
    <xf numFmtId="164" fontId="10" fillId="0" borderId="0" xfId="0" applyNumberFormat="1" applyFont="1" applyAlignment="1"/>
    <xf numFmtId="43" fontId="10" fillId="0" borderId="0" xfId="1" applyNumberFormat="1" applyFont="1" applyBorder="1"/>
    <xf numFmtId="0" fontId="27" fillId="0" borderId="0" xfId="0" applyFont="1"/>
    <xf numFmtId="0" fontId="30" fillId="0" borderId="0" xfId="0" applyFont="1" applyAlignment="1">
      <alignment horizontal="center"/>
    </xf>
    <xf numFmtId="49" fontId="11" fillId="2" borderId="3" xfId="2" applyNumberFormat="1" applyFont="1" applyFill="1" applyBorder="1" applyAlignment="1">
      <alignment horizontal="center" vertical="justify"/>
    </xf>
    <xf numFmtId="0" fontId="12" fillId="2" borderId="4" xfId="2" applyNumberFormat="1" applyFont="1" applyFill="1" applyBorder="1" applyAlignment="1">
      <alignment horizontal="center" vertical="top"/>
    </xf>
    <xf numFmtId="43" fontId="11" fillId="2" borderId="4" xfId="2" applyFont="1" applyFill="1" applyBorder="1" applyAlignment="1">
      <alignment horizontal="center"/>
    </xf>
    <xf numFmtId="43" fontId="11" fillId="3" borderId="4" xfId="1" applyNumberFormat="1" applyFont="1" applyFill="1" applyBorder="1" applyAlignment="1">
      <alignment horizontal="center"/>
    </xf>
    <xf numFmtId="0" fontId="11" fillId="2" borderId="4" xfId="2" quotePrefix="1" applyNumberFormat="1" applyFont="1" applyFill="1" applyBorder="1" applyAlignment="1">
      <alignment vertical="top" wrapText="1"/>
    </xf>
    <xf numFmtId="0" fontId="11" fillId="2" borderId="4" xfId="2" quotePrefix="1" applyNumberFormat="1" applyFont="1" applyFill="1" applyBorder="1" applyAlignment="1">
      <alignment vertical="top"/>
    </xf>
    <xf numFmtId="0" fontId="11" fillId="2" borderId="20" xfId="2" quotePrefix="1" applyNumberFormat="1" applyFont="1" applyFill="1" applyBorder="1" applyAlignment="1">
      <alignment vertical="top" wrapText="1"/>
    </xf>
    <xf numFmtId="49" fontId="11" fillId="2" borderId="3" xfId="2" applyNumberFormat="1" applyFont="1" applyFill="1" applyBorder="1" applyAlignment="1">
      <alignment horizontal="center" vertical="top"/>
    </xf>
    <xf numFmtId="0" fontId="12" fillId="2" borderId="4" xfId="2" applyNumberFormat="1" applyFont="1" applyFill="1" applyBorder="1" applyAlignment="1">
      <alignment horizontal="justify" vertical="top"/>
    </xf>
    <xf numFmtId="43" fontId="11" fillId="2" borderId="4" xfId="2" applyFont="1" applyFill="1" applyBorder="1" applyAlignment="1">
      <alignment horizontal="center" vertical="top"/>
    </xf>
    <xf numFmtId="43" fontId="11" fillId="3" borderId="4" xfId="1" applyNumberFormat="1" applyFont="1" applyFill="1" applyBorder="1" applyAlignment="1">
      <alignment horizontal="center" vertical="top"/>
    </xf>
    <xf numFmtId="0" fontId="11" fillId="2" borderId="4" xfId="2" applyNumberFormat="1" applyFont="1" applyFill="1" applyBorder="1" applyAlignment="1">
      <alignment horizontal="left" vertical="top" wrapText="1"/>
    </xf>
    <xf numFmtId="0" fontId="17" fillId="6" borderId="4" xfId="0" applyFont="1" applyFill="1" applyBorder="1" applyAlignment="1">
      <alignment wrapText="1"/>
    </xf>
    <xf numFmtId="0" fontId="16" fillId="6" borderId="4" xfId="0" applyFont="1" applyFill="1" applyBorder="1" applyAlignment="1">
      <alignment horizontal="center"/>
    </xf>
    <xf numFmtId="43" fontId="16" fillId="6" borderId="4" xfId="1" applyNumberFormat="1" applyFont="1" applyFill="1" applyBorder="1"/>
    <xf numFmtId="49" fontId="10" fillId="0" borderId="3" xfId="0" applyNumberFormat="1" applyFont="1" applyBorder="1"/>
    <xf numFmtId="0" fontId="10" fillId="0" borderId="4" xfId="0" applyFont="1" applyBorder="1" applyAlignment="1">
      <alignment wrapText="1"/>
    </xf>
    <xf numFmtId="0" fontId="10" fillId="0" borderId="4" xfId="0" applyFont="1" applyBorder="1" applyAlignment="1">
      <alignment horizontal="center"/>
    </xf>
    <xf numFmtId="43" fontId="10" fillId="0" borderId="4" xfId="1" applyNumberFormat="1" applyFont="1" applyBorder="1"/>
    <xf numFmtId="0" fontId="17" fillId="0" borderId="4" xfId="0" applyFont="1" applyBorder="1" applyAlignment="1">
      <alignment wrapText="1"/>
    </xf>
    <xf numFmtId="0" fontId="16" fillId="0" borderId="4" xfId="0" applyFont="1" applyBorder="1" applyAlignment="1">
      <alignment horizontal="center"/>
    </xf>
    <xf numFmtId="43" fontId="16" fillId="0" borderId="4" xfId="1" applyNumberFormat="1" applyFont="1" applyBorder="1"/>
    <xf numFmtId="0" fontId="11" fillId="2" borderId="4" xfId="2" applyNumberFormat="1" applyFont="1" applyFill="1" applyBorder="1" applyAlignment="1">
      <alignment vertical="top" wrapText="1"/>
    </xf>
    <xf numFmtId="49" fontId="11" fillId="2" borderId="3" xfId="2" applyNumberFormat="1" applyFont="1" applyFill="1" applyBorder="1" applyAlignment="1">
      <alignment horizontal="center"/>
    </xf>
    <xf numFmtId="0" fontId="12" fillId="2" borderId="4" xfId="2" applyNumberFormat="1" applyFont="1" applyFill="1" applyBorder="1" applyAlignment="1">
      <alignment horizontal="center"/>
    </xf>
    <xf numFmtId="43" fontId="13" fillId="2" borderId="4" xfId="2" applyFont="1" applyFill="1" applyBorder="1" applyAlignment="1">
      <alignment horizontal="center"/>
    </xf>
    <xf numFmtId="43" fontId="13" fillId="3" borderId="4" xfId="1" applyNumberFormat="1" applyFont="1" applyFill="1" applyBorder="1" applyAlignment="1">
      <alignment horizontal="center"/>
    </xf>
    <xf numFmtId="0" fontId="12" fillId="2" borderId="4" xfId="2" applyNumberFormat="1" applyFont="1" applyFill="1" applyBorder="1" applyAlignment="1">
      <alignment horizontal="left"/>
    </xf>
    <xf numFmtId="0" fontId="11" fillId="2" borderId="4" xfId="2" quotePrefix="1" applyNumberFormat="1" applyFont="1" applyFill="1" applyBorder="1" applyAlignment="1">
      <alignment wrapText="1"/>
    </xf>
    <xf numFmtId="0" fontId="11" fillId="2" borderId="4" xfId="2" quotePrefix="1" applyNumberFormat="1" applyFont="1" applyFill="1" applyBorder="1" applyAlignment="1"/>
    <xf numFmtId="0" fontId="12" fillId="2" borderId="4" xfId="2" applyNumberFormat="1" applyFont="1" applyFill="1" applyBorder="1" applyAlignment="1">
      <alignment horizontal="justify"/>
    </xf>
    <xf numFmtId="0" fontId="11" fillId="2" borderId="4" xfId="2" applyNumberFormat="1" applyFont="1" applyFill="1" applyBorder="1" applyAlignment="1">
      <alignment horizontal="justify"/>
    </xf>
    <xf numFmtId="43" fontId="11" fillId="3" borderId="4" xfId="2" applyNumberFormat="1" applyFont="1" applyFill="1" applyBorder="1" applyAlignment="1">
      <alignment horizontal="center"/>
    </xf>
    <xf numFmtId="43" fontId="12" fillId="2" borderId="4" xfId="2" applyFont="1" applyFill="1" applyBorder="1" applyAlignment="1">
      <alignment horizontal="justify" vertical="top"/>
    </xf>
    <xf numFmtId="43" fontId="11" fillId="3" borderId="4" xfId="1" applyNumberFormat="1" applyFont="1" applyFill="1" applyBorder="1" applyAlignment="1">
      <alignment horizontal="right"/>
    </xf>
    <xf numFmtId="43" fontId="11" fillId="2" borderId="4" xfId="2" applyFont="1" applyFill="1" applyBorder="1" applyAlignment="1">
      <alignment horizontal="justify" vertical="top"/>
    </xf>
    <xf numFmtId="0" fontId="11" fillId="2" borderId="4" xfId="2" applyNumberFormat="1" applyFont="1" applyFill="1" applyBorder="1" applyAlignment="1">
      <alignment horizontal="justify" vertical="top" wrapText="1"/>
    </xf>
    <xf numFmtId="0" fontId="11" fillId="2" borderId="3" xfId="2" quotePrefix="1" applyNumberFormat="1" applyFont="1" applyFill="1" applyBorder="1" applyAlignment="1">
      <alignment vertical="justify"/>
    </xf>
    <xf numFmtId="0" fontId="11" fillId="2" borderId="4" xfId="2" quotePrefix="1" applyNumberFormat="1" applyFont="1" applyFill="1" applyBorder="1" applyAlignment="1">
      <alignment vertical="justify"/>
    </xf>
    <xf numFmtId="0" fontId="14" fillId="2" borderId="4" xfId="2" quotePrefix="1" applyNumberFormat="1" applyFont="1" applyFill="1" applyBorder="1" applyAlignment="1">
      <alignment horizontal="left" vertical="top"/>
    </xf>
    <xf numFmtId="0" fontId="11" fillId="2" borderId="4" xfId="2" applyNumberFormat="1" applyFont="1" applyFill="1" applyBorder="1" applyAlignment="1">
      <alignment horizontal="left" wrapText="1"/>
    </xf>
    <xf numFmtId="0" fontId="12" fillId="2" borderId="4" xfId="2" applyNumberFormat="1" applyFont="1" applyFill="1" applyBorder="1" applyAlignment="1">
      <alignment horizontal="left" vertical="top" wrapText="1"/>
    </xf>
    <xf numFmtId="0" fontId="11" fillId="2" borderId="4" xfId="2" applyNumberFormat="1" applyFont="1" applyFill="1" applyBorder="1" applyAlignment="1">
      <alignment vertical="top"/>
    </xf>
    <xf numFmtId="0" fontId="11" fillId="2" borderId="4" xfId="2" applyNumberFormat="1" applyFont="1" applyFill="1" applyBorder="1" applyAlignment="1">
      <alignment horizontal="justify" vertical="top"/>
    </xf>
    <xf numFmtId="0" fontId="11" fillId="2" borderId="4" xfId="2" quotePrefix="1" applyNumberFormat="1" applyFont="1" applyFill="1" applyBorder="1" applyAlignment="1">
      <alignment horizontal="justify" vertical="top"/>
    </xf>
    <xf numFmtId="0" fontId="10" fillId="0" borderId="0" xfId="0" applyFont="1" applyBorder="1"/>
    <xf numFmtId="0" fontId="11" fillId="2" borderId="4" xfId="2" applyNumberFormat="1" applyFont="1" applyFill="1" applyBorder="1" applyAlignment="1">
      <alignment wrapText="1"/>
    </xf>
    <xf numFmtId="49" fontId="11" fillId="2" borderId="4" xfId="2" applyNumberFormat="1" applyFont="1" applyFill="1" applyBorder="1" applyAlignment="1">
      <alignment horizontal="center"/>
    </xf>
    <xf numFmtId="0" fontId="10" fillId="6" borderId="4" xfId="0" applyFont="1" applyFill="1" applyBorder="1" applyAlignment="1">
      <alignment horizontal="center"/>
    </xf>
    <xf numFmtId="43" fontId="10" fillId="6" borderId="4" xfId="1" applyNumberFormat="1" applyFont="1" applyFill="1" applyBorder="1"/>
    <xf numFmtId="0" fontId="17" fillId="3" borderId="4" xfId="0" applyFont="1" applyFill="1" applyBorder="1" applyAlignment="1">
      <alignment wrapText="1"/>
    </xf>
    <xf numFmtId="0" fontId="16" fillId="3" borderId="4" xfId="0" applyFont="1" applyFill="1" applyBorder="1" applyAlignment="1">
      <alignment horizontal="center"/>
    </xf>
    <xf numFmtId="43" fontId="16" fillId="3" borderId="4" xfId="1" applyNumberFormat="1" applyFont="1" applyFill="1" applyBorder="1"/>
    <xf numFmtId="49" fontId="10" fillId="3" borderId="3" xfId="0" applyNumberFormat="1" applyFont="1" applyFill="1" applyBorder="1"/>
    <xf numFmtId="0" fontId="10" fillId="3" borderId="4" xfId="0" applyFont="1" applyFill="1" applyBorder="1" applyAlignment="1">
      <alignment horizontal="center"/>
    </xf>
    <xf numFmtId="49" fontId="10" fillId="0" borderId="3" xfId="0" applyNumberFormat="1" applyFont="1" applyBorder="1" applyAlignment="1">
      <alignment vertical="top"/>
    </xf>
    <xf numFmtId="0" fontId="11" fillId="3" borderId="4" xfId="3" applyFont="1" applyFill="1" applyBorder="1" applyAlignment="1">
      <alignment horizontal="left" wrapText="1"/>
    </xf>
    <xf numFmtId="43" fontId="11" fillId="3" borderId="4" xfId="1" applyFont="1" applyFill="1" applyBorder="1" applyAlignment="1">
      <alignment horizontal="center"/>
    </xf>
    <xf numFmtId="0" fontId="16" fillId="0" borderId="4" xfId="0" applyFont="1" applyBorder="1" applyAlignment="1">
      <alignment wrapText="1"/>
    </xf>
    <xf numFmtId="49" fontId="10" fillId="0" borderId="21" xfId="0" applyNumberFormat="1" applyFont="1" applyBorder="1"/>
    <xf numFmtId="0" fontId="12" fillId="2" borderId="4" xfId="2" quotePrefix="1" applyNumberFormat="1" applyFont="1" applyFill="1" applyBorder="1" applyAlignment="1">
      <alignment horizontal="center"/>
    </xf>
    <xf numFmtId="0" fontId="11" fillId="2" borderId="4" xfId="2" applyNumberFormat="1" applyFont="1" applyFill="1" applyBorder="1" applyAlignment="1"/>
    <xf numFmtId="0" fontId="11" fillId="2" borderId="4" xfId="2" applyNumberFormat="1" applyFont="1" applyFill="1" applyBorder="1" applyAlignment="1">
      <alignment horizontal="left"/>
    </xf>
    <xf numFmtId="0" fontId="12" fillId="6" borderId="4" xfId="2" applyNumberFormat="1" applyFont="1" applyFill="1" applyBorder="1" applyAlignment="1">
      <alignment horizontal="left" vertical="top"/>
    </xf>
    <xf numFmtId="43" fontId="11" fillId="6" borderId="4" xfId="2" applyFont="1" applyFill="1" applyBorder="1" applyAlignment="1">
      <alignment horizontal="center"/>
    </xf>
    <xf numFmtId="43" fontId="11" fillId="6" borderId="4" xfId="1" applyNumberFormat="1" applyFont="1" applyFill="1" applyBorder="1" applyAlignment="1">
      <alignment horizontal="center"/>
    </xf>
    <xf numFmtId="0" fontId="11" fillId="0" borderId="4" xfId="3" applyFont="1" applyBorder="1" applyAlignment="1">
      <alignment horizontal="left" wrapText="1"/>
    </xf>
    <xf numFmtId="0" fontId="11" fillId="0" borderId="4" xfId="3" applyFont="1" applyFill="1" applyBorder="1" applyAlignment="1">
      <alignment horizontal="center"/>
    </xf>
    <xf numFmtId="0" fontId="12" fillId="3" borderId="4" xfId="2" quotePrefix="1" applyNumberFormat="1" applyFont="1" applyFill="1" applyBorder="1" applyAlignment="1">
      <alignment horizontal="center"/>
    </xf>
    <xf numFmtId="43" fontId="13" fillId="3" borderId="4" xfId="2" applyFont="1" applyFill="1" applyBorder="1" applyAlignment="1">
      <alignment horizontal="center"/>
    </xf>
    <xf numFmtId="0" fontId="12" fillId="3" borderId="4" xfId="2" applyNumberFormat="1" applyFont="1" applyFill="1" applyBorder="1" applyAlignment="1">
      <alignment horizontal="center"/>
    </xf>
    <xf numFmtId="49" fontId="3" fillId="3" borderId="3" xfId="0" applyNumberFormat="1" applyFont="1" applyFill="1" applyBorder="1" applyAlignment="1">
      <alignment horizontal="center" vertical="center"/>
    </xf>
    <xf numFmtId="0" fontId="22" fillId="3" borderId="4" xfId="0" applyFont="1" applyFill="1" applyBorder="1" applyAlignment="1">
      <alignment vertical="center" wrapText="1"/>
    </xf>
    <xf numFmtId="0" fontId="3" fillId="3" borderId="4" xfId="0" applyFont="1" applyFill="1" applyBorder="1" applyAlignment="1">
      <alignment horizontal="center" vertical="center"/>
    </xf>
    <xf numFmtId="43" fontId="3" fillId="3" borderId="4" xfId="0" applyNumberFormat="1" applyFont="1" applyFill="1" applyBorder="1" applyAlignment="1">
      <alignment horizontal="center" vertical="center"/>
    </xf>
    <xf numFmtId="49" fontId="3" fillId="6" borderId="3" xfId="0" applyNumberFormat="1" applyFont="1" applyFill="1" applyBorder="1" applyAlignment="1">
      <alignment horizontal="center" vertical="center"/>
    </xf>
    <xf numFmtId="0" fontId="22" fillId="6" borderId="4" xfId="0" applyFont="1" applyFill="1" applyBorder="1" applyAlignment="1">
      <alignment vertical="center" wrapText="1"/>
    </xf>
    <xf numFmtId="0" fontId="3" fillId="6" borderId="4" xfId="0" applyFont="1" applyFill="1" applyBorder="1" applyAlignment="1">
      <alignment horizontal="center" vertical="center"/>
    </xf>
    <xf numFmtId="43" fontId="3" fillId="6" borderId="4" xfId="0" applyNumberFormat="1" applyFont="1" applyFill="1" applyBorder="1" applyAlignment="1">
      <alignment horizontal="center" vertical="center"/>
    </xf>
    <xf numFmtId="0" fontId="3" fillId="3" borderId="4" xfId="0" applyFont="1" applyFill="1" applyBorder="1" applyAlignment="1">
      <alignment vertical="center" wrapText="1"/>
    </xf>
    <xf numFmtId="43" fontId="11" fillId="8" borderId="4" xfId="2" applyFont="1" applyFill="1" applyBorder="1" applyAlignment="1">
      <alignment horizontal="center"/>
    </xf>
    <xf numFmtId="0" fontId="25" fillId="3" borderId="4" xfId="0" applyFont="1" applyFill="1" applyBorder="1" applyAlignment="1">
      <alignment vertical="center" wrapText="1"/>
    </xf>
    <xf numFmtId="0" fontId="11" fillId="3" borderId="4" xfId="2" applyNumberFormat="1" applyFont="1" applyFill="1" applyBorder="1" applyAlignment="1">
      <alignment horizontal="left" wrapText="1"/>
    </xf>
    <xf numFmtId="49" fontId="11" fillId="3" borderId="3" xfId="2" applyNumberFormat="1" applyFont="1" applyFill="1" applyBorder="1" applyAlignment="1">
      <alignment horizontal="center" vertical="top"/>
    </xf>
    <xf numFmtId="0" fontId="13" fillId="2" borderId="4" xfId="2" applyNumberFormat="1" applyFont="1" applyFill="1" applyBorder="1" applyAlignment="1">
      <alignment wrapText="1"/>
    </xf>
    <xf numFmtId="0" fontId="12" fillId="2" borderId="4" xfId="2" applyNumberFormat="1" applyFont="1" applyFill="1" applyBorder="1"/>
    <xf numFmtId="0" fontId="17" fillId="0" borderId="4" xfId="0" applyFont="1" applyBorder="1"/>
    <xf numFmtId="0" fontId="17" fillId="6" borderId="4" xfId="0" applyFont="1" applyFill="1" applyBorder="1"/>
    <xf numFmtId="0" fontId="16" fillId="0" borderId="4" xfId="0" applyFont="1" applyBorder="1"/>
    <xf numFmtId="0" fontId="10" fillId="0" borderId="4" xfId="0" applyFont="1" applyBorder="1"/>
    <xf numFmtId="0" fontId="13" fillId="2" borderId="4" xfId="2" quotePrefix="1" applyNumberFormat="1" applyFont="1" applyFill="1" applyBorder="1" applyAlignment="1">
      <alignment horizontal="left"/>
    </xf>
    <xf numFmtId="49" fontId="11" fillId="2" borderId="19" xfId="2" applyNumberFormat="1" applyFont="1" applyFill="1" applyBorder="1" applyAlignment="1">
      <alignment horizontal="center" vertical="justify"/>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4" xfId="2" applyNumberFormat="1" applyFont="1" applyFill="1" applyBorder="1" applyAlignment="1">
      <alignment horizontal="justify"/>
    </xf>
    <xf numFmtId="0" fontId="11" fillId="3" borderId="4" xfId="3" applyFont="1" applyFill="1" applyBorder="1" applyAlignment="1">
      <alignment horizontal="center"/>
    </xf>
    <xf numFmtId="0" fontId="12" fillId="5" borderId="4" xfId="2" applyNumberFormat="1" applyFont="1" applyFill="1" applyBorder="1" applyAlignment="1">
      <alignment horizontal="left"/>
    </xf>
    <xf numFmtId="0" fontId="11" fillId="2" borderId="4" xfId="3" applyFont="1" applyFill="1" applyBorder="1" applyAlignment="1">
      <alignment horizontal="left" wrapText="1"/>
    </xf>
    <xf numFmtId="0" fontId="11" fillId="0" borderId="4" xfId="3" applyFont="1" applyBorder="1" applyAlignment="1">
      <alignment horizontal="center"/>
    </xf>
    <xf numFmtId="0" fontId="12" fillId="6" borderId="4" xfId="2" applyNumberFormat="1" applyFont="1" applyFill="1" applyBorder="1" applyAlignment="1">
      <alignment horizontal="left"/>
    </xf>
    <xf numFmtId="0" fontId="11" fillId="6" borderId="4" xfId="2" applyNumberFormat="1" applyFont="1" applyFill="1" applyBorder="1" applyAlignment="1">
      <alignment horizontal="center"/>
    </xf>
    <xf numFmtId="0" fontId="12" fillId="0" borderId="4" xfId="3" applyFont="1" applyFill="1" applyBorder="1" applyAlignment="1">
      <alignment horizontal="left" wrapText="1"/>
    </xf>
    <xf numFmtId="0" fontId="21" fillId="0" borderId="4" xfId="3" applyFont="1" applyFill="1" applyBorder="1" applyAlignment="1">
      <alignment horizontal="center"/>
    </xf>
    <xf numFmtId="43" fontId="21" fillId="3" borderId="4" xfId="1" applyNumberFormat="1" applyFont="1" applyFill="1" applyBorder="1" applyAlignment="1">
      <alignment horizontal="center"/>
    </xf>
    <xf numFmtId="0" fontId="12" fillId="6" borderId="4" xfId="2" applyNumberFormat="1" applyFont="1" applyFill="1" applyBorder="1" applyAlignment="1">
      <alignment horizontal="justify"/>
    </xf>
    <xf numFmtId="43" fontId="13" fillId="6" borderId="4" xfId="2" applyFont="1" applyFill="1" applyBorder="1" applyAlignment="1">
      <alignment horizontal="center"/>
    </xf>
    <xf numFmtId="43" fontId="13" fillId="6" borderId="4" xfId="1" applyFont="1" applyFill="1" applyBorder="1" applyAlignment="1">
      <alignment horizontal="center"/>
    </xf>
    <xf numFmtId="43" fontId="11" fillId="8" borderId="4" xfId="1" applyFont="1" applyFill="1" applyBorder="1" applyAlignment="1">
      <alignment horizontal="center"/>
    </xf>
    <xf numFmtId="49" fontId="11" fillId="3" borderId="3" xfId="1" applyNumberFormat="1" applyFont="1" applyFill="1" applyBorder="1" applyAlignment="1">
      <alignment horizontal="left" vertical="justify"/>
    </xf>
    <xf numFmtId="0" fontId="12" fillId="8" borderId="4" xfId="2" applyNumberFormat="1" applyFont="1" applyFill="1" applyBorder="1" applyAlignment="1">
      <alignment horizontal="left"/>
    </xf>
    <xf numFmtId="49" fontId="10" fillId="0" borderId="0" xfId="0" applyNumberFormat="1" applyFont="1" applyBorder="1"/>
    <xf numFmtId="49" fontId="11" fillId="2" borderId="3" xfId="2" applyNumberFormat="1" applyFont="1" applyFill="1" applyBorder="1" applyAlignment="1">
      <alignment horizontal="left" vertical="justify"/>
    </xf>
    <xf numFmtId="49" fontId="11" fillId="2" borderId="3" xfId="2" applyNumberFormat="1" applyFont="1" applyFill="1" applyBorder="1" applyAlignment="1">
      <alignment horizontal="left"/>
    </xf>
    <xf numFmtId="0" fontId="12" fillId="7" borderId="4" xfId="2" applyNumberFormat="1" applyFont="1" applyFill="1" applyBorder="1" applyAlignment="1">
      <alignment horizontal="justify"/>
    </xf>
    <xf numFmtId="43" fontId="13" fillId="7" borderId="4" xfId="2" applyFont="1" applyFill="1" applyBorder="1" applyAlignment="1">
      <alignment horizontal="center"/>
    </xf>
    <xf numFmtId="43" fontId="13" fillId="7" borderId="4" xfId="1" applyFont="1" applyFill="1" applyBorder="1" applyAlignment="1">
      <alignment horizontal="center"/>
    </xf>
    <xf numFmtId="0" fontId="22" fillId="3" borderId="4" xfId="0" applyFont="1" applyFill="1" applyBorder="1" applyAlignment="1">
      <alignment vertical="justify" wrapText="1"/>
    </xf>
    <xf numFmtId="49" fontId="3" fillId="3" borderId="3" xfId="0" applyNumberFormat="1" applyFont="1" applyFill="1" applyBorder="1" applyAlignment="1">
      <alignment horizontal="center" vertical="top"/>
    </xf>
    <xf numFmtId="0" fontId="3" fillId="3" borderId="4" xfId="0" applyFont="1" applyFill="1" applyBorder="1" applyAlignment="1">
      <alignment wrapText="1"/>
    </xf>
    <xf numFmtId="0" fontId="3" fillId="3" borderId="4" xfId="0" applyFont="1" applyFill="1" applyBorder="1" applyAlignment="1">
      <alignment horizontal="center"/>
    </xf>
    <xf numFmtId="43" fontId="3" fillId="3" borderId="4" xfId="0" applyNumberFormat="1" applyFont="1" applyFill="1" applyBorder="1" applyAlignment="1">
      <alignment horizontal="center"/>
    </xf>
    <xf numFmtId="0" fontId="3" fillId="3" borderId="4" xfId="0" applyFont="1" applyFill="1" applyBorder="1" applyAlignment="1">
      <alignment vertical="justify" wrapText="1"/>
    </xf>
    <xf numFmtId="0" fontId="24" fillId="3" borderId="4" xfId="0" applyFont="1" applyFill="1" applyBorder="1" applyAlignment="1">
      <alignment horizontal="center" vertical="center"/>
    </xf>
    <xf numFmtId="43" fontId="24" fillId="3" borderId="4" xfId="0" applyNumberFormat="1" applyFont="1" applyFill="1" applyBorder="1" applyAlignment="1">
      <alignment horizontal="center" vertical="center"/>
    </xf>
    <xf numFmtId="165" fontId="11" fillId="2" borderId="3" xfId="1" applyNumberFormat="1" applyFont="1" applyFill="1" applyBorder="1" applyAlignment="1">
      <alignment horizontal="left" vertical="justify"/>
    </xf>
    <xf numFmtId="0" fontId="11" fillId="5" borderId="4" xfId="3" applyFont="1" applyFill="1" applyBorder="1" applyAlignment="1">
      <alignment horizontal="center"/>
    </xf>
    <xf numFmtId="43" fontId="11" fillId="5" borderId="4" xfId="1" applyFont="1" applyFill="1" applyBorder="1" applyAlignment="1">
      <alignment horizontal="center"/>
    </xf>
    <xf numFmtId="0" fontId="13" fillId="0" borderId="4" xfId="3" applyFont="1" applyBorder="1" applyAlignment="1">
      <alignment horizontal="left" wrapText="1"/>
    </xf>
    <xf numFmtId="0" fontId="13" fillId="0" borderId="4" xfId="3" applyFont="1" applyBorder="1" applyAlignment="1">
      <alignment horizontal="center"/>
    </xf>
    <xf numFmtId="43" fontId="13" fillId="3" borderId="4" xfId="1" applyFont="1" applyFill="1" applyBorder="1" applyAlignment="1">
      <alignment horizontal="center"/>
    </xf>
    <xf numFmtId="0" fontId="13" fillId="9" borderId="4" xfId="3" applyFont="1" applyFill="1" applyBorder="1" applyAlignment="1">
      <alignment horizontal="left" wrapText="1"/>
    </xf>
    <xf numFmtId="0" fontId="13" fillId="9" borderId="4" xfId="3" applyFont="1" applyFill="1" applyBorder="1" applyAlignment="1">
      <alignment horizontal="center"/>
    </xf>
    <xf numFmtId="43" fontId="13" fillId="9" borderId="4" xfId="1" applyFont="1" applyFill="1" applyBorder="1" applyAlignment="1">
      <alignment horizontal="center"/>
    </xf>
    <xf numFmtId="0" fontId="12" fillId="0" borderId="4" xfId="3" applyNumberFormat="1" applyFont="1" applyBorder="1" applyAlignment="1">
      <alignment horizontal="left"/>
    </xf>
    <xf numFmtId="0" fontId="13" fillId="3" borderId="4" xfId="3" applyFont="1" applyFill="1" applyBorder="1" applyAlignment="1">
      <alignment horizontal="left" wrapText="1"/>
    </xf>
    <xf numFmtId="0" fontId="13" fillId="3" borderId="4" xfId="3" applyFont="1" applyFill="1" applyBorder="1" applyAlignment="1">
      <alignment horizontal="center"/>
    </xf>
    <xf numFmtId="165" fontId="11" fillId="5" borderId="3" xfId="1" applyNumberFormat="1" applyFont="1" applyFill="1" applyBorder="1" applyAlignment="1">
      <alignment horizontal="left" vertical="justify"/>
    </xf>
    <xf numFmtId="165" fontId="11" fillId="3" borderId="3" xfId="1" applyNumberFormat="1" applyFont="1" applyFill="1" applyBorder="1" applyAlignment="1">
      <alignment horizontal="left" vertical="justify"/>
    </xf>
    <xf numFmtId="0" fontId="12" fillId="3" borderId="4" xfId="2" applyNumberFormat="1" applyFont="1" applyFill="1" applyBorder="1" applyAlignment="1">
      <alignment horizontal="left"/>
    </xf>
    <xf numFmtId="0" fontId="13" fillId="2" borderId="24" xfId="2" quotePrefix="1" applyNumberFormat="1" applyFont="1" applyFill="1" applyBorder="1" applyAlignment="1">
      <alignment horizontal="left"/>
    </xf>
    <xf numFmtId="0" fontId="10" fillId="0" borderId="24" xfId="0" applyFont="1" applyBorder="1" applyAlignment="1">
      <alignment horizontal="center"/>
    </xf>
    <xf numFmtId="0" fontId="10" fillId="0" borderId="22" xfId="0" applyFont="1" applyBorder="1" applyAlignment="1">
      <alignment horizontal="center"/>
    </xf>
    <xf numFmtId="43" fontId="10" fillId="0" borderId="22" xfId="1" applyNumberFormat="1" applyFont="1" applyBorder="1"/>
    <xf numFmtId="0" fontId="10" fillId="0" borderId="22" xfId="0" applyFont="1" applyBorder="1" applyAlignment="1">
      <alignment wrapText="1"/>
    </xf>
    <xf numFmtId="49" fontId="11" fillId="2" borderId="22" xfId="2" applyNumberFormat="1" applyFont="1" applyFill="1" applyBorder="1" applyAlignment="1">
      <alignment horizontal="center"/>
    </xf>
    <xf numFmtId="49" fontId="11" fillId="3" borderId="23" xfId="1" applyNumberFormat="1" applyFont="1" applyFill="1" applyBorder="1" applyAlignment="1">
      <alignment horizontal="left" vertical="justify"/>
    </xf>
    <xf numFmtId="0" fontId="11" fillId="3" borderId="24" xfId="3" applyFont="1" applyFill="1" applyBorder="1" applyAlignment="1">
      <alignment horizontal="left" wrapText="1"/>
    </xf>
    <xf numFmtId="43" fontId="11" fillId="3" borderId="24" xfId="1" applyFont="1" applyFill="1" applyBorder="1" applyAlignment="1">
      <alignment horizontal="center"/>
    </xf>
    <xf numFmtId="49" fontId="10" fillId="0" borderId="25" xfId="0" applyNumberFormat="1" applyFont="1" applyBorder="1" applyAlignment="1">
      <alignment horizontal="center" vertical="center"/>
    </xf>
    <xf numFmtId="0" fontId="10" fillId="0" borderId="26" xfId="0" applyFont="1" applyBorder="1" applyAlignment="1">
      <alignment horizontal="center" vertical="center"/>
    </xf>
    <xf numFmtId="43" fontId="10" fillId="0" borderId="26" xfId="1" applyNumberFormat="1" applyFont="1" applyBorder="1" applyAlignment="1">
      <alignment horizontal="center" vertical="center"/>
    </xf>
    <xf numFmtId="49" fontId="11" fillId="2" borderId="27" xfId="2" applyNumberFormat="1" applyFont="1" applyFill="1" applyBorder="1" applyAlignment="1">
      <alignment horizontal="center" vertical="justify"/>
    </xf>
    <xf numFmtId="0" fontId="12" fillId="2" borderId="28" xfId="2" quotePrefix="1" applyNumberFormat="1" applyFont="1" applyFill="1" applyBorder="1" applyAlignment="1">
      <alignment horizontal="center"/>
    </xf>
    <xf numFmtId="43" fontId="13" fillId="2" borderId="28" xfId="2" applyFont="1" applyFill="1" applyBorder="1" applyAlignment="1">
      <alignment horizontal="center"/>
    </xf>
    <xf numFmtId="43" fontId="13" fillId="3" borderId="28" xfId="1" applyNumberFormat="1" applyFont="1" applyFill="1" applyBorder="1" applyAlignment="1">
      <alignment horizontal="center"/>
    </xf>
    <xf numFmtId="0" fontId="13" fillId="2" borderId="4" xfId="2" applyNumberFormat="1" applyFont="1" applyFill="1" applyBorder="1" applyAlignment="1">
      <alignment horizontal="left"/>
    </xf>
    <xf numFmtId="49" fontId="11" fillId="2" borderId="3" xfId="2" quotePrefix="1" applyNumberFormat="1" applyFont="1" applyFill="1" applyBorder="1" applyAlignment="1">
      <alignment horizontal="center" vertical="justify"/>
    </xf>
    <xf numFmtId="0" fontId="14" fillId="2" borderId="4" xfId="2" applyNumberFormat="1" applyFont="1" applyFill="1" applyBorder="1" applyAlignment="1">
      <alignment horizontal="left"/>
    </xf>
    <xf numFmtId="0" fontId="11" fillId="2" borderId="4" xfId="2" applyNumberFormat="1" applyFont="1" applyFill="1" applyBorder="1"/>
    <xf numFmtId="0" fontId="14" fillId="2" borderId="4" xfId="2" applyNumberFormat="1" applyFont="1" applyFill="1" applyBorder="1"/>
    <xf numFmtId="0" fontId="12" fillId="2" borderId="4" xfId="2" applyNumberFormat="1" applyFont="1" applyFill="1" applyBorder="1" applyAlignment="1">
      <alignment vertical="top"/>
    </xf>
    <xf numFmtId="49" fontId="11" fillId="2" borderId="29" xfId="2" applyNumberFormat="1" applyFont="1" applyFill="1" applyBorder="1" applyAlignment="1">
      <alignment horizontal="center" vertical="justify"/>
    </xf>
    <xf numFmtId="0" fontId="13" fillId="2" borderId="30" xfId="2" quotePrefix="1" applyNumberFormat="1" applyFont="1" applyFill="1" applyBorder="1" applyAlignment="1">
      <alignment horizontal="left"/>
    </xf>
    <xf numFmtId="0" fontId="11" fillId="3" borderId="30" xfId="3" applyFont="1" applyFill="1" applyBorder="1" applyAlignment="1">
      <alignment horizontal="center"/>
    </xf>
    <xf numFmtId="43" fontId="11" fillId="3" borderId="30" xfId="1" applyNumberFormat="1" applyFont="1" applyFill="1" applyBorder="1" applyAlignment="1">
      <alignment horizontal="center"/>
    </xf>
    <xf numFmtId="49" fontId="11" fillId="2" borderId="31" xfId="2" applyNumberFormat="1" applyFont="1" applyFill="1" applyBorder="1" applyAlignment="1">
      <alignment horizontal="center" vertical="justify"/>
    </xf>
    <xf numFmtId="0" fontId="13" fillId="2" borderId="32" xfId="2" quotePrefix="1" applyNumberFormat="1" applyFont="1" applyFill="1" applyBorder="1" applyAlignment="1">
      <alignment horizontal="left"/>
    </xf>
    <xf numFmtId="0" fontId="11" fillId="4" borderId="32" xfId="3" applyFont="1" applyFill="1" applyBorder="1" applyAlignment="1">
      <alignment horizontal="center"/>
    </xf>
    <xf numFmtId="43" fontId="11" fillId="3" borderId="32" xfId="1" applyNumberFormat="1" applyFont="1" applyFill="1" applyBorder="1" applyAlignment="1">
      <alignment horizontal="center"/>
    </xf>
    <xf numFmtId="43" fontId="11" fillId="2" borderId="30" xfId="2" applyFont="1" applyFill="1" applyBorder="1" applyAlignment="1">
      <alignment horizontal="center"/>
    </xf>
    <xf numFmtId="43" fontId="11" fillId="2" borderId="32" xfId="2" applyFont="1" applyFill="1" applyBorder="1" applyAlignment="1">
      <alignment horizontal="center"/>
    </xf>
    <xf numFmtId="49" fontId="10" fillId="0" borderId="23" xfId="0" applyNumberFormat="1" applyFont="1" applyBorder="1"/>
    <xf numFmtId="0" fontId="10" fillId="0" borderId="24" xfId="0" applyFont="1" applyBorder="1" applyAlignment="1">
      <alignment wrapText="1"/>
    </xf>
    <xf numFmtId="43" fontId="10" fillId="0" borderId="24" xfId="1" applyNumberFormat="1" applyFont="1" applyBorder="1"/>
    <xf numFmtId="49" fontId="11" fillId="2" borderId="24" xfId="2" applyNumberFormat="1" applyFont="1" applyFill="1" applyBorder="1" applyAlignment="1">
      <alignment horizontal="center"/>
    </xf>
    <xf numFmtId="0" fontId="10" fillId="0" borderId="24" xfId="0" applyFont="1" applyBorder="1"/>
    <xf numFmtId="0" fontId="13" fillId="2" borderId="0" xfId="2" quotePrefix="1" applyNumberFormat="1" applyFont="1" applyFill="1" applyBorder="1" applyAlignment="1">
      <alignment horizontal="left"/>
    </xf>
    <xf numFmtId="43" fontId="11" fillId="3" borderId="24" xfId="1" applyNumberFormat="1" applyFont="1" applyFill="1" applyBorder="1" applyAlignment="1">
      <alignment horizontal="center"/>
    </xf>
    <xf numFmtId="0" fontId="13" fillId="2" borderId="28" xfId="2" quotePrefix="1" applyNumberFormat="1" applyFont="1" applyFill="1" applyBorder="1" applyAlignment="1">
      <alignment horizontal="left"/>
    </xf>
    <xf numFmtId="43" fontId="13" fillId="2" borderId="24" xfId="2" applyFont="1" applyFill="1" applyBorder="1" applyAlignment="1">
      <alignment horizontal="center"/>
    </xf>
    <xf numFmtId="43" fontId="13" fillId="3" borderId="24" xfId="1" applyNumberFormat="1" applyFont="1" applyFill="1" applyBorder="1" applyAlignment="1">
      <alignment horizontal="center"/>
    </xf>
    <xf numFmtId="49" fontId="11" fillId="2" borderId="33" xfId="2" applyNumberFormat="1" applyFont="1" applyFill="1" applyBorder="1" applyAlignment="1">
      <alignment horizontal="center" vertical="justify"/>
    </xf>
    <xf numFmtId="43" fontId="11" fillId="2" borderId="28" xfId="2" applyFont="1" applyFill="1" applyBorder="1" applyAlignment="1">
      <alignment horizontal="center"/>
    </xf>
    <xf numFmtId="43" fontId="11" fillId="3" borderId="28" xfId="1" applyNumberFormat="1" applyFont="1" applyFill="1" applyBorder="1" applyAlignment="1">
      <alignment horizontal="center"/>
    </xf>
    <xf numFmtId="49" fontId="11" fillId="2" borderId="34" xfId="2" applyNumberFormat="1" applyFont="1" applyFill="1" applyBorder="1" applyAlignment="1">
      <alignment horizontal="center" vertical="justify"/>
    </xf>
    <xf numFmtId="43" fontId="11" fillId="2" borderId="24" xfId="2" applyFont="1" applyFill="1" applyBorder="1" applyAlignment="1">
      <alignment horizontal="center"/>
    </xf>
    <xf numFmtId="165" fontId="11" fillId="2" borderId="33" xfId="1" applyNumberFormat="1" applyFont="1" applyFill="1" applyBorder="1" applyAlignment="1">
      <alignment horizontal="left" vertical="justify"/>
    </xf>
    <xf numFmtId="165" fontId="11" fillId="2" borderId="34" xfId="1" applyNumberFormat="1" applyFont="1" applyFill="1" applyBorder="1" applyAlignment="1">
      <alignment horizontal="left" vertical="justify"/>
    </xf>
    <xf numFmtId="49" fontId="3" fillId="2" borderId="35" xfId="0" applyNumberFormat="1" applyFont="1" applyFill="1" applyBorder="1"/>
    <xf numFmtId="0" fontId="9" fillId="2" borderId="36" xfId="0" applyFont="1" applyFill="1" applyBorder="1" applyAlignment="1">
      <alignment horizontal="center"/>
    </xf>
    <xf numFmtId="43" fontId="9" fillId="2" borderId="37" xfId="0" applyNumberFormat="1" applyFont="1" applyFill="1" applyBorder="1" applyAlignment="1">
      <alignment horizontal="center"/>
    </xf>
    <xf numFmtId="49" fontId="3" fillId="2" borderId="38" xfId="0" applyNumberFormat="1" applyFont="1" applyFill="1" applyBorder="1"/>
    <xf numFmtId="0" fontId="9" fillId="2" borderId="39" xfId="0" applyFont="1" applyFill="1" applyBorder="1" applyAlignment="1">
      <alignment horizontal="center"/>
    </xf>
    <xf numFmtId="43" fontId="9" fillId="2" borderId="40" xfId="0" applyNumberFormat="1" applyFont="1" applyFill="1" applyBorder="1" applyAlignment="1">
      <alignment horizontal="center"/>
    </xf>
    <xf numFmtId="49" fontId="3" fillId="2" borderId="41" xfId="0" applyNumberFormat="1" applyFont="1" applyFill="1" applyBorder="1"/>
    <xf numFmtId="0" fontId="9" fillId="2" borderId="42" xfId="0" applyFont="1" applyFill="1" applyBorder="1" applyAlignment="1">
      <alignment horizontal="center"/>
    </xf>
    <xf numFmtId="43" fontId="9" fillId="2" borderId="43" xfId="0" applyNumberFormat="1" applyFont="1" applyFill="1" applyBorder="1" applyAlignment="1">
      <alignment horizontal="center"/>
    </xf>
    <xf numFmtId="0" fontId="0" fillId="0" borderId="44" xfId="0" applyBorder="1"/>
    <xf numFmtId="0" fontId="0" fillId="0" borderId="45" xfId="0" applyBorder="1"/>
    <xf numFmtId="0" fontId="26" fillId="0" borderId="45" xfId="0" applyFont="1" applyBorder="1" applyAlignment="1">
      <alignment horizontal="center"/>
    </xf>
    <xf numFmtId="0" fontId="27" fillId="0" borderId="45" xfId="0" applyFont="1" applyBorder="1"/>
    <xf numFmtId="0" fontId="28" fillId="0" borderId="45" xfId="0" applyFont="1" applyBorder="1" applyAlignment="1">
      <alignment horizontal="center" vertical="center" wrapText="1"/>
    </xf>
    <xf numFmtId="0" fontId="29" fillId="0" borderId="45" xfId="0" applyFont="1" applyBorder="1" applyAlignment="1">
      <alignment horizontal="center"/>
    </xf>
    <xf numFmtId="0" fontId="27" fillId="0" borderId="45" xfId="0" applyFont="1" applyBorder="1" applyAlignment="1">
      <alignment horizontal="center"/>
    </xf>
    <xf numFmtId="165" fontId="11" fillId="0" borderId="4" xfId="1" applyNumberFormat="1" applyFont="1" applyFill="1" applyBorder="1" applyAlignment="1">
      <alignment horizontal="center"/>
    </xf>
    <xf numFmtId="43" fontId="10" fillId="0" borderId="4" xfId="1" applyFont="1" applyFill="1" applyBorder="1" applyAlignment="1">
      <alignment horizontal="center" vertical="center" wrapText="1"/>
    </xf>
    <xf numFmtId="43" fontId="10" fillId="0" borderId="5" xfId="1" applyFont="1" applyFill="1" applyBorder="1" applyAlignment="1">
      <alignment horizontal="center" vertical="center" wrapText="1"/>
    </xf>
    <xf numFmtId="43" fontId="10" fillId="0" borderId="4" xfId="1" applyFont="1" applyFill="1" applyBorder="1"/>
    <xf numFmtId="43" fontId="10" fillId="0" borderId="5" xfId="1" applyFont="1" applyFill="1" applyBorder="1"/>
    <xf numFmtId="0" fontId="11" fillId="0" borderId="4" xfId="2" quotePrefix="1" applyNumberFormat="1" applyFont="1" applyFill="1" applyBorder="1" applyAlignment="1"/>
    <xf numFmtId="0" fontId="11" fillId="0" borderId="5" xfId="2" quotePrefix="1" applyNumberFormat="1" applyFont="1" applyFill="1" applyBorder="1" applyAlignment="1"/>
    <xf numFmtId="165" fontId="10" fillId="0" borderId="4" xfId="0" applyNumberFormat="1" applyFont="1" applyFill="1" applyBorder="1" applyAlignment="1">
      <alignment horizontal="center" vertical="center"/>
    </xf>
    <xf numFmtId="0" fontId="10" fillId="0" borderId="4" xfId="0" applyFont="1" applyFill="1" applyBorder="1" applyAlignment="1">
      <alignment horizontal="center" vertical="center"/>
    </xf>
    <xf numFmtId="0" fontId="10" fillId="0" borderId="5" xfId="0" applyFont="1" applyFill="1" applyBorder="1" applyAlignment="1">
      <alignment horizontal="center" vertical="center"/>
    </xf>
    <xf numFmtId="165" fontId="10" fillId="0" borderId="4" xfId="1" applyNumberFormat="1" applyFont="1" applyFill="1" applyBorder="1"/>
    <xf numFmtId="0" fontId="11" fillId="0" borderId="4" xfId="2" quotePrefix="1" applyNumberFormat="1" applyFont="1" applyFill="1" applyBorder="1" applyAlignment="1">
      <alignment vertical="justify"/>
    </xf>
    <xf numFmtId="43" fontId="10" fillId="0" borderId="4" xfId="1" applyFont="1" applyFill="1" applyBorder="1" applyAlignment="1"/>
    <xf numFmtId="43" fontId="10" fillId="0" borderId="5" xfId="1" applyFont="1" applyFill="1" applyBorder="1" applyAlignment="1"/>
    <xf numFmtId="0" fontId="11" fillId="0" borderId="4" xfId="2" quotePrefix="1" applyNumberFormat="1" applyFont="1" applyFill="1" applyBorder="1" applyAlignment="1">
      <alignment vertical="top"/>
    </xf>
    <xf numFmtId="0" fontId="11" fillId="0" borderId="4" xfId="2" applyNumberFormat="1" applyFont="1" applyFill="1" applyBorder="1" applyAlignment="1">
      <alignment vertical="top"/>
    </xf>
    <xf numFmtId="0" fontId="11" fillId="0" borderId="5" xfId="2" quotePrefix="1" applyNumberFormat="1" applyFont="1" applyFill="1" applyBorder="1" applyAlignment="1">
      <alignment vertical="top"/>
    </xf>
    <xf numFmtId="165" fontId="11" fillId="0" borderId="4" xfId="1" applyNumberFormat="1" applyFont="1" applyFill="1" applyBorder="1" applyAlignment="1">
      <alignment horizontal="center" vertical="top"/>
    </xf>
    <xf numFmtId="43" fontId="10" fillId="0" borderId="4" xfId="1" applyFont="1" applyFill="1" applyBorder="1" applyAlignment="1">
      <alignment horizontal="center" vertical="top" wrapText="1"/>
    </xf>
    <xf numFmtId="43" fontId="10" fillId="0" borderId="5" xfId="1" applyFont="1" applyFill="1" applyBorder="1" applyAlignment="1">
      <alignment horizontal="center" vertical="top" wrapText="1"/>
    </xf>
    <xf numFmtId="165" fontId="16" fillId="0" borderId="4" xfId="1" applyNumberFormat="1" applyFont="1" applyFill="1" applyBorder="1"/>
    <xf numFmtId="43" fontId="16" fillId="0" borderId="4" xfId="1" applyFont="1" applyFill="1" applyBorder="1"/>
    <xf numFmtId="43" fontId="16" fillId="0" borderId="5" xfId="1" applyFont="1" applyFill="1" applyBorder="1"/>
    <xf numFmtId="43" fontId="11" fillId="0" borderId="4" xfId="1" applyNumberFormat="1" applyFont="1" applyFill="1" applyBorder="1" applyAlignment="1">
      <alignment horizontal="center"/>
    </xf>
    <xf numFmtId="43" fontId="13" fillId="0" borderId="5" xfId="1" applyNumberFormat="1" applyFont="1" applyFill="1" applyBorder="1"/>
    <xf numFmtId="0" fontId="11" fillId="0" borderId="4" xfId="2" applyNumberFormat="1" applyFont="1" applyFill="1" applyBorder="1" applyAlignment="1">
      <alignment vertical="top" wrapText="1"/>
    </xf>
    <xf numFmtId="0" fontId="11" fillId="0" borderId="5" xfId="2" applyNumberFormat="1" applyFont="1" applyFill="1" applyBorder="1" applyAlignment="1">
      <alignment vertical="top" wrapText="1"/>
    </xf>
    <xf numFmtId="0" fontId="11" fillId="0" borderId="4" xfId="2" applyNumberFormat="1" applyFont="1" applyFill="1" applyBorder="1" applyAlignment="1">
      <alignment wrapText="1"/>
    </xf>
    <xf numFmtId="0" fontId="11" fillId="0" borderId="5" xfId="2" applyNumberFormat="1" applyFont="1" applyFill="1" applyBorder="1" applyAlignment="1">
      <alignment wrapText="1"/>
    </xf>
    <xf numFmtId="0" fontId="11" fillId="0" borderId="4" xfId="2" applyNumberFormat="1" applyFont="1" applyFill="1" applyBorder="1" applyAlignment="1"/>
    <xf numFmtId="0" fontId="11" fillId="0" borderId="5" xfId="2" applyNumberFormat="1" applyFont="1" applyFill="1" applyBorder="1" applyAlignment="1"/>
    <xf numFmtId="43" fontId="13" fillId="0" borderId="5" xfId="2" applyFont="1" applyFill="1" applyBorder="1"/>
    <xf numFmtId="43" fontId="16" fillId="0" borderId="4" xfId="1" applyFont="1" applyFill="1" applyBorder="1" applyAlignment="1"/>
    <xf numFmtId="43" fontId="10" fillId="0" borderId="0" xfId="1" applyFont="1" applyFill="1" applyBorder="1"/>
    <xf numFmtId="165" fontId="13" fillId="0" borderId="4" xfId="1" applyNumberFormat="1" applyFont="1" applyFill="1" applyBorder="1" applyAlignment="1">
      <alignment horizontal="center"/>
    </xf>
    <xf numFmtId="0" fontId="11" fillId="0" borderId="5" xfId="2" applyNumberFormat="1" applyFont="1" applyFill="1" applyBorder="1" applyAlignment="1">
      <alignment vertical="top"/>
    </xf>
    <xf numFmtId="43" fontId="11" fillId="0" borderId="5" xfId="2" applyFont="1" applyFill="1" applyBorder="1"/>
    <xf numFmtId="165" fontId="10" fillId="0" borderId="0" xfId="1" applyNumberFormat="1" applyFont="1" applyFill="1" applyBorder="1"/>
    <xf numFmtId="43" fontId="11" fillId="0" borderId="4" xfId="1" applyNumberFormat="1" applyFont="1" applyFill="1" applyBorder="1" applyAlignment="1"/>
    <xf numFmtId="43" fontId="16" fillId="0" borderId="5" xfId="1" applyFont="1" applyFill="1" applyBorder="1" applyAlignment="1"/>
    <xf numFmtId="49" fontId="10" fillId="0" borderId="3" xfId="0" applyNumberFormat="1" applyFont="1" applyFill="1" applyBorder="1"/>
    <xf numFmtId="0" fontId="10" fillId="0" borderId="4" xfId="0" applyFont="1" applyFill="1" applyBorder="1" applyAlignment="1">
      <alignment wrapText="1"/>
    </xf>
    <xf numFmtId="43" fontId="10" fillId="0" borderId="4" xfId="1" applyNumberFormat="1" applyFont="1" applyFill="1" applyBorder="1"/>
    <xf numFmtId="43" fontId="10" fillId="6" borderId="4" xfId="1" applyNumberFormat="1" applyFont="1" applyFill="1" applyBorder="1" applyAlignment="1"/>
    <xf numFmtId="165" fontId="10" fillId="0" borderId="4" xfId="1" applyNumberFormat="1" applyFont="1" applyFill="1" applyBorder="1" applyAlignment="1"/>
    <xf numFmtId="0" fontId="17" fillId="0" borderId="4" xfId="0" applyFont="1" applyFill="1" applyBorder="1" applyAlignment="1">
      <alignment wrapText="1"/>
    </xf>
    <xf numFmtId="0" fontId="16" fillId="0" borderId="4" xfId="0" applyFont="1" applyFill="1" applyBorder="1" applyAlignment="1">
      <alignment horizontal="center"/>
    </xf>
    <xf numFmtId="43" fontId="16" fillId="0" borderId="4" xfId="1" applyNumberFormat="1" applyFont="1" applyFill="1" applyBorder="1"/>
    <xf numFmtId="0" fontId="10" fillId="0" borderId="0" xfId="0" applyFont="1" applyFill="1"/>
    <xf numFmtId="49" fontId="11" fillId="0" borderId="4" xfId="2" applyNumberFormat="1" applyFont="1" applyFill="1" applyBorder="1" applyAlignment="1">
      <alignment horizontal="center"/>
    </xf>
    <xf numFmtId="0" fontId="31" fillId="0" borderId="0" xfId="0" applyFont="1"/>
    <xf numFmtId="0" fontId="12" fillId="0" borderId="4" xfId="2" applyNumberFormat="1" applyFont="1" applyFill="1" applyBorder="1" applyAlignment="1">
      <alignment horizontal="justify" vertical="top"/>
    </xf>
    <xf numFmtId="43" fontId="11" fillId="0" borderId="4" xfId="2" applyNumberFormat="1" applyFont="1" applyFill="1" applyBorder="1" applyAlignment="1">
      <alignment horizontal="center"/>
    </xf>
    <xf numFmtId="49" fontId="11" fillId="0" borderId="3" xfId="2" applyNumberFormat="1" applyFont="1" applyFill="1" applyBorder="1" applyAlignment="1">
      <alignment horizontal="center"/>
    </xf>
    <xf numFmtId="0" fontId="12" fillId="0" borderId="4" xfId="2" applyNumberFormat="1" applyFont="1" applyFill="1" applyBorder="1" applyAlignment="1">
      <alignment horizontal="left" vertical="top"/>
    </xf>
    <xf numFmtId="43" fontId="11" fillId="0" borderId="4" xfId="2" applyFont="1" applyFill="1" applyBorder="1" applyAlignment="1">
      <alignment horizontal="center"/>
    </xf>
    <xf numFmtId="0" fontId="12" fillId="0" borderId="4" xfId="2" applyNumberFormat="1" applyFont="1" applyFill="1" applyBorder="1" applyAlignment="1">
      <alignment horizontal="center" vertical="top"/>
    </xf>
    <xf numFmtId="0" fontId="12" fillId="0" borderId="4" xfId="2" applyNumberFormat="1" applyFont="1" applyFill="1" applyBorder="1" applyAlignment="1">
      <alignment horizontal="center"/>
    </xf>
    <xf numFmtId="43" fontId="10" fillId="0" borderId="0" xfId="0" applyNumberFormat="1" applyFont="1" applyFill="1"/>
    <xf numFmtId="0" fontId="12" fillId="0" borderId="4" xfId="2" applyNumberFormat="1" applyFont="1" applyFill="1" applyBorder="1" applyAlignment="1">
      <alignment horizontal="left" wrapText="1"/>
    </xf>
    <xf numFmtId="43" fontId="13" fillId="0" borderId="4" xfId="2" applyFont="1" applyFill="1" applyBorder="1" applyAlignment="1">
      <alignment horizontal="center"/>
    </xf>
    <xf numFmtId="43" fontId="13" fillId="0" borderId="4" xfId="1" applyNumberFormat="1" applyFont="1" applyFill="1" applyBorder="1" applyAlignment="1">
      <alignment horizontal="center"/>
    </xf>
    <xf numFmtId="0" fontId="12" fillId="0" borderId="4" xfId="2" applyNumberFormat="1" applyFont="1" applyFill="1" applyBorder="1" applyAlignment="1">
      <alignment horizontal="left"/>
    </xf>
    <xf numFmtId="0" fontId="12" fillId="0" borderId="4" xfId="2" applyNumberFormat="1" applyFont="1" applyFill="1" applyBorder="1" applyAlignment="1">
      <alignment horizontal="justify"/>
    </xf>
    <xf numFmtId="43" fontId="11" fillId="0" borderId="4" xfId="1" applyFont="1" applyFill="1" applyBorder="1" applyAlignment="1">
      <alignment horizontal="center"/>
    </xf>
    <xf numFmtId="0" fontId="13" fillId="0" borderId="4" xfId="3" applyFont="1" applyFill="1" applyBorder="1" applyAlignment="1">
      <alignment horizontal="center"/>
    </xf>
    <xf numFmtId="49" fontId="11" fillId="0" borderId="3" xfId="1" applyNumberFormat="1" applyFont="1" applyFill="1" applyBorder="1" applyAlignment="1">
      <alignment horizontal="left" vertical="justify"/>
    </xf>
    <xf numFmtId="0" fontId="11" fillId="0" borderId="4" xfId="3" applyFont="1" applyFill="1" applyBorder="1" applyAlignment="1">
      <alignment horizontal="left" wrapText="1"/>
    </xf>
    <xf numFmtId="49" fontId="10" fillId="0" borderId="47" xfId="0" applyNumberFormat="1" applyFont="1" applyBorder="1"/>
    <xf numFmtId="0" fontId="10" fillId="0" borderId="48" xfId="0" applyFont="1" applyBorder="1" applyAlignment="1">
      <alignment wrapText="1"/>
    </xf>
    <xf numFmtId="49" fontId="11" fillId="2" borderId="48" xfId="2" applyNumberFormat="1" applyFont="1" applyFill="1" applyBorder="1" applyAlignment="1">
      <alignment horizontal="center"/>
    </xf>
    <xf numFmtId="43" fontId="10" fillId="0" borderId="48" xfId="1" applyNumberFormat="1" applyFont="1" applyBorder="1"/>
    <xf numFmtId="165" fontId="11" fillId="0" borderId="32" xfId="1" applyNumberFormat="1" applyFont="1" applyFill="1" applyBorder="1" applyAlignment="1">
      <alignment horizontal="center"/>
    </xf>
    <xf numFmtId="43" fontId="10" fillId="0" borderId="32" xfId="1" applyFont="1" applyFill="1" applyBorder="1" applyAlignment="1">
      <alignment horizontal="center" vertical="center" wrapText="1"/>
    </xf>
    <xf numFmtId="43" fontId="16" fillId="0" borderId="49" xfId="1" applyFont="1" applyFill="1" applyBorder="1" applyAlignment="1">
      <alignment horizontal="center" vertical="center" wrapText="1"/>
    </xf>
    <xf numFmtId="165" fontId="11" fillId="0" borderId="30" xfId="1" applyNumberFormat="1" applyFont="1" applyFill="1" applyBorder="1" applyAlignment="1">
      <alignment horizontal="center"/>
    </xf>
    <xf numFmtId="43" fontId="10" fillId="0" borderId="30" xfId="1" applyFont="1" applyFill="1" applyBorder="1"/>
    <xf numFmtId="43" fontId="10" fillId="0" borderId="51" xfId="1" applyFont="1" applyFill="1" applyBorder="1"/>
    <xf numFmtId="43" fontId="10" fillId="0" borderId="32" xfId="1" applyFont="1" applyFill="1" applyBorder="1"/>
    <xf numFmtId="43" fontId="16" fillId="0" borderId="49" xfId="1" applyFont="1" applyFill="1" applyBorder="1"/>
    <xf numFmtId="43" fontId="10" fillId="0" borderId="52" xfId="1" applyFont="1" applyFill="1" applyBorder="1"/>
    <xf numFmtId="43" fontId="16" fillId="0" borderId="50" xfId="1" applyFont="1" applyFill="1" applyBorder="1"/>
    <xf numFmtId="165" fontId="11" fillId="0" borderId="28" xfId="1" applyNumberFormat="1" applyFont="1" applyFill="1" applyBorder="1" applyAlignment="1">
      <alignment horizontal="center"/>
    </xf>
    <xf numFmtId="43" fontId="10" fillId="0" borderId="28" xfId="1" applyFont="1" applyFill="1" applyBorder="1"/>
    <xf numFmtId="165" fontId="11" fillId="0" borderId="24" xfId="1" applyNumberFormat="1" applyFont="1" applyFill="1" applyBorder="1" applyAlignment="1">
      <alignment horizontal="center"/>
    </xf>
    <xf numFmtId="43" fontId="10" fillId="0" borderId="24" xfId="1" applyFont="1" applyFill="1" applyBorder="1"/>
    <xf numFmtId="165" fontId="11" fillId="0" borderId="53" xfId="1" applyNumberFormat="1" applyFont="1" applyFill="1" applyBorder="1" applyAlignment="1">
      <alignment horizontal="center"/>
    </xf>
    <xf numFmtId="165" fontId="11" fillId="0" borderId="54" xfId="1" applyNumberFormat="1" applyFont="1" applyFill="1" applyBorder="1" applyAlignment="1">
      <alignment horizontal="center"/>
    </xf>
    <xf numFmtId="43" fontId="11" fillId="3" borderId="53" xfId="1" applyNumberFormat="1" applyFont="1" applyFill="1" applyBorder="1" applyAlignment="1">
      <alignment horizontal="center"/>
    </xf>
    <xf numFmtId="43" fontId="11" fillId="3" borderId="54" xfId="1" applyNumberFormat="1" applyFont="1" applyFill="1" applyBorder="1" applyAlignment="1">
      <alignment horizontal="center"/>
    </xf>
    <xf numFmtId="0" fontId="10" fillId="0" borderId="30" xfId="0" applyFont="1" applyBorder="1" applyAlignment="1">
      <alignment horizontal="center"/>
    </xf>
    <xf numFmtId="43" fontId="10" fillId="0" borderId="30" xfId="1" applyNumberFormat="1" applyFont="1" applyBorder="1"/>
    <xf numFmtId="165" fontId="10" fillId="0" borderId="30" xfId="1" applyNumberFormat="1" applyFont="1" applyFill="1" applyBorder="1"/>
    <xf numFmtId="0" fontId="10" fillId="0" borderId="32" xfId="0" applyFont="1" applyBorder="1" applyAlignment="1">
      <alignment horizontal="center"/>
    </xf>
    <xf numFmtId="43" fontId="10" fillId="0" borderId="32" xfId="1" applyNumberFormat="1" applyFont="1" applyBorder="1"/>
    <xf numFmtId="165" fontId="10" fillId="0" borderId="32" xfId="1" applyNumberFormat="1" applyFont="1" applyFill="1" applyBorder="1"/>
    <xf numFmtId="43" fontId="10" fillId="0" borderId="30" xfId="1" applyFont="1" applyBorder="1"/>
    <xf numFmtId="43" fontId="10" fillId="0" borderId="32" xfId="1" applyFont="1" applyBorder="1"/>
    <xf numFmtId="0" fontId="10" fillId="0" borderId="4" xfId="0" applyFont="1" applyBorder="1" applyAlignment="1">
      <alignment horizontal="left" wrapText="1"/>
    </xf>
    <xf numFmtId="0" fontId="11" fillId="3" borderId="4" xfId="2" applyNumberFormat="1" applyFont="1" applyFill="1" applyBorder="1" applyAlignment="1">
      <alignment horizontal="justify" wrapText="1"/>
    </xf>
    <xf numFmtId="0" fontId="11" fillId="3" borderId="4" xfId="2" applyNumberFormat="1" applyFont="1" applyFill="1" applyBorder="1" applyAlignment="1">
      <alignment horizontal="justify" vertical="top" wrapText="1"/>
    </xf>
    <xf numFmtId="43" fontId="11" fillId="3" borderId="4" xfId="1" applyNumberFormat="1" applyFont="1" applyFill="1" applyBorder="1" applyAlignment="1">
      <alignment horizontal="center" vertical="center"/>
    </xf>
    <xf numFmtId="49" fontId="11" fillId="2" borderId="3" xfId="2" applyNumberFormat="1" applyFont="1" applyFill="1" applyBorder="1" applyAlignment="1">
      <alignment horizontal="center" vertical="center"/>
    </xf>
    <xf numFmtId="0" fontId="11" fillId="3" borderId="4" xfId="2" applyNumberFormat="1" applyFont="1" applyFill="1" applyBorder="1" applyAlignment="1">
      <alignment horizontal="justify" vertical="center" wrapText="1"/>
    </xf>
    <xf numFmtId="0" fontId="11" fillId="0" borderId="4" xfId="3" applyFont="1" applyFill="1" applyBorder="1" applyAlignment="1">
      <alignment horizontal="center" vertical="top"/>
    </xf>
    <xf numFmtId="49" fontId="11" fillId="0" borderId="3" xfId="2" applyNumberFormat="1" applyFont="1" applyFill="1" applyBorder="1" applyAlignment="1">
      <alignment horizontal="center" vertical="justify"/>
    </xf>
    <xf numFmtId="49" fontId="10" fillId="6" borderId="3" xfId="0" applyNumberFormat="1" applyFont="1" applyFill="1" applyBorder="1"/>
    <xf numFmtId="49" fontId="10" fillId="6" borderId="3" xfId="0" applyNumberFormat="1" applyFont="1" applyFill="1" applyBorder="1" applyAlignment="1"/>
    <xf numFmtId="49" fontId="11" fillId="3" borderId="3" xfId="2" applyNumberFormat="1" applyFont="1" applyFill="1" applyBorder="1" applyAlignment="1">
      <alignment horizontal="center" vertical="justify"/>
    </xf>
    <xf numFmtId="49" fontId="11" fillId="3" borderId="3" xfId="2" applyNumberFormat="1" applyFont="1" applyFill="1" applyBorder="1" applyAlignment="1">
      <alignment horizontal="center"/>
    </xf>
    <xf numFmtId="49" fontId="11" fillId="6" borderId="3" xfId="2" applyNumberFormat="1" applyFont="1" applyFill="1" applyBorder="1" applyAlignment="1">
      <alignment horizontal="center" vertical="justify"/>
    </xf>
    <xf numFmtId="49" fontId="11" fillId="2" borderId="3" xfId="3" applyNumberFormat="1" applyFont="1" applyFill="1" applyBorder="1" applyAlignment="1">
      <alignment horizontal="center"/>
    </xf>
    <xf numFmtId="49" fontId="11" fillId="6" borderId="3" xfId="1" applyNumberFormat="1" applyFont="1" applyFill="1" applyBorder="1" applyAlignment="1">
      <alignment horizontal="left" vertical="justify"/>
    </xf>
    <xf numFmtId="49" fontId="11" fillId="8" borderId="3" xfId="1" applyNumberFormat="1" applyFont="1" applyFill="1" applyBorder="1" applyAlignment="1">
      <alignment horizontal="left" vertical="justify"/>
    </xf>
    <xf numFmtId="49" fontId="11" fillId="7" borderId="3" xfId="1" applyNumberFormat="1" applyFont="1" applyFill="1" applyBorder="1" applyAlignment="1">
      <alignment horizontal="left" vertical="justify"/>
    </xf>
    <xf numFmtId="165" fontId="11" fillId="0" borderId="3" xfId="1" applyNumberFormat="1" applyFont="1" applyFill="1" applyBorder="1" applyAlignment="1">
      <alignment horizontal="left" vertical="justify"/>
    </xf>
    <xf numFmtId="165" fontId="11" fillId="9" borderId="3" xfId="1" applyNumberFormat="1" applyFont="1" applyFill="1" applyBorder="1" applyAlignment="1">
      <alignment horizontal="left" vertical="justify"/>
    </xf>
    <xf numFmtId="165" fontId="11" fillId="2" borderId="3" xfId="1" applyNumberFormat="1" applyFont="1" applyFill="1" applyBorder="1" applyAlignment="1">
      <alignment horizontal="left"/>
    </xf>
    <xf numFmtId="0" fontId="32" fillId="0" borderId="45" xfId="0" applyFont="1" applyBorder="1" applyAlignment="1">
      <alignment horizontal="center" vertical="center"/>
    </xf>
    <xf numFmtId="0" fontId="32" fillId="0" borderId="46" xfId="0" applyFont="1" applyBorder="1" applyAlignment="1">
      <alignment horizontal="center" vertic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49" fontId="19" fillId="0" borderId="0" xfId="0" applyNumberFormat="1" applyFont="1" applyAlignment="1">
      <alignment horizontal="center"/>
    </xf>
    <xf numFmtId="165" fontId="10" fillId="0" borderId="0" xfId="1" applyNumberFormat="1" applyFont="1" applyFill="1" applyBorder="1" applyAlignment="1">
      <alignment horizontal="center"/>
    </xf>
  </cellXfs>
  <cellStyles count="4">
    <cellStyle name="Comma" xfId="1" builtinId="3"/>
    <cellStyle name="Comma 2" xfId="2"/>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1666875</xdr:colOff>
      <xdr:row>31</xdr:row>
      <xdr:rowOff>190500</xdr:rowOff>
    </xdr:from>
    <xdr:to>
      <xdr:col>0</xdr:col>
      <xdr:colOff>5064125</xdr:colOff>
      <xdr:row>33</xdr:row>
      <xdr:rowOff>710181</xdr:rowOff>
    </xdr:to>
    <xdr:pic>
      <xdr:nvPicPr>
        <xdr:cNvPr id="2" name="Picture 1" descr="http://www.epoch.associates/images/Epoch-logo-final-1.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66875" y="8029575"/>
          <a:ext cx="3397250" cy="9959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
  <sheetViews>
    <sheetView workbookViewId="0">
      <selection activeCell="A12" sqref="A12"/>
    </sheetView>
  </sheetViews>
  <sheetFormatPr defaultRowHeight="15" x14ac:dyDescent="0.25"/>
  <cols>
    <col min="1" max="1" width="100.85546875" customWidth="1"/>
  </cols>
  <sheetData>
    <row r="1" spans="1:1" x14ac:dyDescent="0.25">
      <c r="A1" s="255"/>
    </row>
    <row r="2" spans="1:1" x14ac:dyDescent="0.25">
      <c r="A2" s="256"/>
    </row>
    <row r="3" spans="1:1" x14ac:dyDescent="0.25">
      <c r="A3" s="256"/>
    </row>
    <row r="4" spans="1:1" x14ac:dyDescent="0.25">
      <c r="A4" s="256"/>
    </row>
    <row r="5" spans="1:1" x14ac:dyDescent="0.25">
      <c r="A5" s="256"/>
    </row>
    <row r="6" spans="1:1" x14ac:dyDescent="0.25">
      <c r="A6" s="256"/>
    </row>
    <row r="7" spans="1:1" ht="33.75" x14ac:dyDescent="0.65">
      <c r="A7" s="257" t="s">
        <v>158</v>
      </c>
    </row>
    <row r="8" spans="1:1" ht="18.75" x14ac:dyDescent="0.4">
      <c r="A8" s="258"/>
    </row>
    <row r="9" spans="1:1" ht="18.75" x14ac:dyDescent="0.4">
      <c r="A9" s="258"/>
    </row>
    <row r="10" spans="1:1" ht="18.75" x14ac:dyDescent="0.4">
      <c r="A10" s="258"/>
    </row>
    <row r="11" spans="1:1" ht="18.75" x14ac:dyDescent="0.4">
      <c r="A11" s="258"/>
    </row>
    <row r="12" spans="1:1" ht="18.75" x14ac:dyDescent="0.4">
      <c r="A12" s="258"/>
    </row>
    <row r="13" spans="1:1" s="38" customFormat="1" ht="90.75" customHeight="1" x14ac:dyDescent="0.25">
      <c r="A13" s="259" t="s">
        <v>486</v>
      </c>
    </row>
    <row r="14" spans="1:1" x14ac:dyDescent="0.25">
      <c r="A14" s="256"/>
    </row>
    <row r="15" spans="1:1" ht="16.5" customHeight="1" x14ac:dyDescent="0.25">
      <c r="A15" s="256"/>
    </row>
    <row r="16" spans="1:1" ht="16.5" customHeight="1" x14ac:dyDescent="0.25">
      <c r="A16" s="256"/>
    </row>
    <row r="17" spans="1:1" ht="16.5" customHeight="1" x14ac:dyDescent="0.25">
      <c r="A17" s="256"/>
    </row>
    <row r="18" spans="1:1" ht="16.5" customHeight="1" x14ac:dyDescent="0.25">
      <c r="A18" s="256"/>
    </row>
    <row r="19" spans="1:1" ht="16.5" customHeight="1" x14ac:dyDescent="0.25">
      <c r="A19" s="256"/>
    </row>
    <row r="20" spans="1:1" ht="16.5" customHeight="1" x14ac:dyDescent="0.25">
      <c r="A20" s="256"/>
    </row>
    <row r="21" spans="1:1" x14ac:dyDescent="0.25">
      <c r="A21" s="256"/>
    </row>
    <row r="22" spans="1:1" x14ac:dyDescent="0.25">
      <c r="A22" s="256"/>
    </row>
    <row r="23" spans="1:1" x14ac:dyDescent="0.25">
      <c r="A23" s="256"/>
    </row>
    <row r="24" spans="1:1" ht="18.75" x14ac:dyDescent="0.4">
      <c r="A24" s="260" t="s">
        <v>326</v>
      </c>
    </row>
    <row r="25" spans="1:1" ht="18.75" x14ac:dyDescent="0.4">
      <c r="A25" s="261" t="s">
        <v>324</v>
      </c>
    </row>
    <row r="26" spans="1:1" ht="18.75" x14ac:dyDescent="0.4">
      <c r="A26" s="261" t="s">
        <v>325</v>
      </c>
    </row>
    <row r="27" spans="1:1" ht="18.75" x14ac:dyDescent="0.4">
      <c r="A27" s="258"/>
    </row>
    <row r="28" spans="1:1" ht="18.75" x14ac:dyDescent="0.4">
      <c r="A28" s="258"/>
    </row>
    <row r="29" spans="1:1" ht="18.75" x14ac:dyDescent="0.4">
      <c r="A29" s="258"/>
    </row>
    <row r="30" spans="1:1" ht="18.75" x14ac:dyDescent="0.4">
      <c r="A30" s="258"/>
    </row>
    <row r="31" spans="1:1" ht="18.75" x14ac:dyDescent="0.4">
      <c r="A31" s="258"/>
    </row>
    <row r="32" spans="1:1" ht="18.75" x14ac:dyDescent="0.4">
      <c r="A32" s="260" t="s">
        <v>164</v>
      </c>
    </row>
    <row r="33" spans="1:1" ht="18.75" customHeight="1" x14ac:dyDescent="0.25">
      <c r="A33" s="380"/>
    </row>
    <row r="34" spans="1:1" ht="65.25" customHeight="1" thickBot="1" x14ac:dyDescent="0.3">
      <c r="A34" s="381"/>
    </row>
    <row r="35" spans="1:1" ht="18.75" x14ac:dyDescent="0.4">
      <c r="A35" s="55"/>
    </row>
    <row r="36" spans="1:1" ht="18.75" x14ac:dyDescent="0.4">
      <c r="A36" s="54"/>
    </row>
  </sheetData>
  <mergeCells count="1">
    <mergeCell ref="A33:A34"/>
  </mergeCells>
  <pageMargins left="0.7" right="0.7" top="0.75" bottom="0.75" header="0.3" footer="0.3"/>
  <pageSetup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election activeCell="D14" sqref="D14"/>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382" t="s">
        <v>488</v>
      </c>
      <c r="B1" s="382"/>
      <c r="C1" s="382"/>
    </row>
    <row r="2" spans="1:6" ht="15.75" x14ac:dyDescent="0.25">
      <c r="A2" s="383" t="s">
        <v>73</v>
      </c>
      <c r="B2" s="383"/>
      <c r="C2" s="383"/>
    </row>
    <row r="3" spans="1:6" ht="15.75" thickBot="1" x14ac:dyDescent="0.3">
      <c r="A3" s="1"/>
      <c r="B3" s="2"/>
      <c r="C3" s="3"/>
    </row>
    <row r="4" spans="1:6" ht="20.100000000000001" customHeight="1" thickTop="1" thickBot="1" x14ac:dyDescent="0.35">
      <c r="A4" s="4" t="s">
        <v>74</v>
      </c>
      <c r="B4" s="5" t="s">
        <v>75</v>
      </c>
      <c r="C4" s="6" t="s">
        <v>76</v>
      </c>
    </row>
    <row r="5" spans="1:6" ht="24.95" customHeight="1" thickTop="1" x14ac:dyDescent="0.25">
      <c r="A5" s="7" t="s">
        <v>77</v>
      </c>
      <c r="B5" s="8" t="s">
        <v>17</v>
      </c>
      <c r="C5" s="9">
        <f>Boq!G51</f>
        <v>0</v>
      </c>
    </row>
    <row r="6" spans="1:6" ht="24.95" customHeight="1" x14ac:dyDescent="0.25">
      <c r="A6" s="10" t="s">
        <v>78</v>
      </c>
      <c r="B6" s="11" t="s">
        <v>79</v>
      </c>
      <c r="C6" s="12">
        <f>Boq!G86</f>
        <v>0</v>
      </c>
    </row>
    <row r="7" spans="1:6" ht="24.95" customHeight="1" x14ac:dyDescent="0.25">
      <c r="A7" s="10" t="s">
        <v>80</v>
      </c>
      <c r="B7" s="11" t="s">
        <v>81</v>
      </c>
      <c r="C7" s="12">
        <f>Boq!G292</f>
        <v>0</v>
      </c>
    </row>
    <row r="8" spans="1:6" ht="24.95" customHeight="1" x14ac:dyDescent="0.25">
      <c r="A8" s="10" t="s">
        <v>82</v>
      </c>
      <c r="B8" s="11" t="s">
        <v>83</v>
      </c>
      <c r="C8" s="12">
        <f>Boq!G357</f>
        <v>0</v>
      </c>
    </row>
    <row r="9" spans="1:6" ht="24.95" customHeight="1" x14ac:dyDescent="0.25">
      <c r="A9" s="10" t="s">
        <v>84</v>
      </c>
      <c r="B9" s="11" t="s">
        <v>85</v>
      </c>
      <c r="C9" s="12">
        <f>Boq!G419</f>
        <v>0</v>
      </c>
    </row>
    <row r="10" spans="1:6" ht="24.95" customHeight="1" x14ac:dyDescent="0.25">
      <c r="A10" s="10" t="s">
        <v>86</v>
      </c>
      <c r="B10" s="11" t="s">
        <v>88</v>
      </c>
      <c r="C10" s="12">
        <f>Boq!G451</f>
        <v>0</v>
      </c>
    </row>
    <row r="11" spans="1:6" ht="24.95" customHeight="1" x14ac:dyDescent="0.25">
      <c r="A11" s="10" t="s">
        <v>87</v>
      </c>
      <c r="B11" s="11" t="s">
        <v>90</v>
      </c>
      <c r="C11" s="12">
        <f>Boq!G493</f>
        <v>0</v>
      </c>
    </row>
    <row r="12" spans="1:6" ht="24.95" customHeight="1" x14ac:dyDescent="0.25">
      <c r="A12" s="10" t="s">
        <v>89</v>
      </c>
      <c r="B12" s="11" t="s">
        <v>92</v>
      </c>
      <c r="C12" s="12">
        <f>Boq!G529</f>
        <v>0</v>
      </c>
    </row>
    <row r="13" spans="1:6" ht="24.95" customHeight="1" x14ac:dyDescent="0.25">
      <c r="A13" s="10" t="s">
        <v>91</v>
      </c>
      <c r="B13" s="11" t="s">
        <v>94</v>
      </c>
      <c r="C13" s="12">
        <f>Boq!G562</f>
        <v>0</v>
      </c>
    </row>
    <row r="14" spans="1:6" ht="24.95" customHeight="1" x14ac:dyDescent="0.25">
      <c r="A14" s="10" t="s">
        <v>93</v>
      </c>
      <c r="B14" s="11" t="s">
        <v>96</v>
      </c>
      <c r="C14" s="12">
        <f>Boq!G630</f>
        <v>0</v>
      </c>
    </row>
    <row r="15" spans="1:6" ht="24.95" customHeight="1" x14ac:dyDescent="0.25">
      <c r="A15" s="10" t="s">
        <v>95</v>
      </c>
      <c r="B15" s="11" t="s">
        <v>97</v>
      </c>
      <c r="C15" s="12">
        <f>Boq!G703</f>
        <v>0</v>
      </c>
    </row>
    <row r="16" spans="1:6" ht="24.95" customHeight="1" x14ac:dyDescent="0.25">
      <c r="A16" s="10" t="s">
        <v>298</v>
      </c>
      <c r="B16" s="11" t="s">
        <v>299</v>
      </c>
      <c r="C16" s="12">
        <f>Boq!G740</f>
        <v>0</v>
      </c>
      <c r="F16" s="44"/>
    </row>
    <row r="17" spans="1:6" ht="24.95" customHeight="1" x14ac:dyDescent="0.25">
      <c r="A17" s="10" t="s">
        <v>313</v>
      </c>
      <c r="B17" s="11" t="s">
        <v>315</v>
      </c>
      <c r="C17" s="12">
        <f>Boq!G765</f>
        <v>0</v>
      </c>
      <c r="F17" s="44"/>
    </row>
    <row r="18" spans="1:6" ht="24.95" customHeight="1" x14ac:dyDescent="0.25">
      <c r="A18" s="10" t="s">
        <v>314</v>
      </c>
      <c r="B18" s="11" t="s">
        <v>316</v>
      </c>
      <c r="C18" s="12">
        <f>Boq!G796</f>
        <v>0</v>
      </c>
    </row>
    <row r="19" spans="1:6" ht="24.95" customHeight="1" thickBot="1" x14ac:dyDescent="0.3">
      <c r="A19" s="13"/>
      <c r="B19" s="14"/>
      <c r="C19" s="15"/>
      <c r="F19" s="44">
        <f>C20*3%</f>
        <v>0</v>
      </c>
    </row>
    <row r="20" spans="1:6" ht="24.95" customHeight="1" thickTop="1" x14ac:dyDescent="0.25">
      <c r="A20" s="246"/>
      <c r="B20" s="247" t="s">
        <v>356</v>
      </c>
      <c r="C20" s="248">
        <f>SUM(C5:C18)</f>
        <v>0</v>
      </c>
      <c r="F20" s="44">
        <f>C20*0.05</f>
        <v>0</v>
      </c>
    </row>
    <row r="21" spans="1:6" ht="24.95" customHeight="1" x14ac:dyDescent="0.25">
      <c r="A21" s="249"/>
      <c r="B21" s="250" t="s">
        <v>357</v>
      </c>
      <c r="C21" s="251">
        <f>C20*6%</f>
        <v>0</v>
      </c>
    </row>
    <row r="22" spans="1:6" ht="31.5" customHeight="1" thickBot="1" x14ac:dyDescent="0.3">
      <c r="A22" s="252"/>
      <c r="B22" s="253" t="s">
        <v>358</v>
      </c>
      <c r="C22" s="254">
        <f>C20+C21</f>
        <v>0</v>
      </c>
    </row>
    <row r="23"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96"/>
  <sheetViews>
    <sheetView showGridLines="0" tabSelected="1" showWhiteSpace="0" view="pageBreakPreview" zoomScaleNormal="100" zoomScaleSheetLayoutView="100" workbookViewId="0">
      <selection activeCell="B18" sqref="B18"/>
    </sheetView>
  </sheetViews>
  <sheetFormatPr defaultRowHeight="12" x14ac:dyDescent="0.2"/>
  <cols>
    <col min="1" max="1" width="4.85546875" style="31" customWidth="1"/>
    <col min="2" max="2" width="37.28515625" style="16" customWidth="1"/>
    <col min="3" max="3" width="4.7109375" style="17" customWidth="1"/>
    <col min="4" max="4" width="8.85546875" style="18" customWidth="1"/>
    <col min="5" max="5" width="11.85546875" style="299" customWidth="1"/>
    <col min="6" max="6" width="11.5703125" style="295" customWidth="1"/>
    <col min="7" max="7" width="12.42578125" style="295" customWidth="1"/>
    <col min="8" max="8" width="4.5703125" style="16" customWidth="1"/>
    <col min="9" max="9" width="14.42578125" style="16" customWidth="1"/>
    <col min="10" max="10" width="9.140625" style="16" customWidth="1"/>
    <col min="11" max="11" width="9" style="16" customWidth="1"/>
    <col min="12" max="12" width="9.42578125" style="16" customWidth="1"/>
    <col min="13" max="13" width="11.28515625" style="16" customWidth="1"/>
    <col min="14" max="14" width="9.28515625" style="16" customWidth="1"/>
    <col min="15" max="15" width="7.7109375" style="16" customWidth="1"/>
    <col min="16" max="16384" width="9.140625" style="16"/>
  </cols>
  <sheetData>
    <row r="1" spans="1:10" s="27" customFormat="1" ht="18.75" customHeight="1" x14ac:dyDescent="0.25">
      <c r="A1" s="384" t="s">
        <v>487</v>
      </c>
      <c r="B1" s="384"/>
      <c r="C1" s="384"/>
      <c r="D1" s="384"/>
      <c r="E1" s="384"/>
      <c r="F1" s="384"/>
      <c r="G1" s="384"/>
    </row>
    <row r="2" spans="1:10" ht="12.75" thickBot="1" x14ac:dyDescent="0.25">
      <c r="E2" s="385"/>
      <c r="F2" s="385"/>
      <c r="G2" s="385"/>
    </row>
    <row r="3" spans="1:10" s="19" customFormat="1" ht="12.75" thickBot="1" x14ac:dyDescent="0.3">
      <c r="A3" s="206" t="s">
        <v>0</v>
      </c>
      <c r="B3" s="207" t="s">
        <v>1</v>
      </c>
      <c r="C3" s="207" t="s">
        <v>2</v>
      </c>
      <c r="D3" s="208" t="s">
        <v>3</v>
      </c>
      <c r="E3" s="208" t="s">
        <v>4</v>
      </c>
      <c r="F3" s="208" t="s">
        <v>5</v>
      </c>
      <c r="G3" s="208" t="s">
        <v>6</v>
      </c>
    </row>
    <row r="4" spans="1:10" s="19" customFormat="1" x14ac:dyDescent="0.2">
      <c r="A4" s="209"/>
      <c r="B4" s="210" t="s">
        <v>16</v>
      </c>
      <c r="C4" s="211"/>
      <c r="D4" s="212"/>
      <c r="E4" s="262"/>
      <c r="F4" s="263"/>
      <c r="G4" s="264"/>
      <c r="I4" s="41"/>
      <c r="J4" s="40"/>
    </row>
    <row r="5" spans="1:10" s="19" customFormat="1" x14ac:dyDescent="0.2">
      <c r="A5" s="56"/>
      <c r="B5" s="80" t="s">
        <v>17</v>
      </c>
      <c r="C5" s="81"/>
      <c r="D5" s="82"/>
      <c r="E5" s="262"/>
      <c r="F5" s="263"/>
      <c r="G5" s="264"/>
    </row>
    <row r="6" spans="1:10" s="19" customFormat="1" x14ac:dyDescent="0.2">
      <c r="A6" s="56"/>
      <c r="B6" s="213"/>
      <c r="C6" s="81"/>
      <c r="D6" s="82"/>
      <c r="E6" s="262"/>
      <c r="F6" s="263"/>
      <c r="G6" s="264"/>
    </row>
    <row r="7" spans="1:10" s="19" customFormat="1" x14ac:dyDescent="0.2">
      <c r="A7" s="56">
        <v>1.1000000000000001</v>
      </c>
      <c r="B7" s="83" t="s">
        <v>18</v>
      </c>
      <c r="C7" s="81"/>
      <c r="D7" s="82"/>
      <c r="E7" s="262"/>
      <c r="F7" s="263"/>
      <c r="G7" s="264"/>
    </row>
    <row r="8" spans="1:10" s="19" customFormat="1" x14ac:dyDescent="0.2">
      <c r="A8" s="214" t="s">
        <v>7</v>
      </c>
      <c r="B8" s="215" t="s">
        <v>19</v>
      </c>
      <c r="C8" s="81"/>
      <c r="D8" s="82"/>
      <c r="E8" s="262"/>
      <c r="F8" s="263"/>
      <c r="G8" s="264"/>
    </row>
    <row r="9" spans="1:10" s="19" customFormat="1" x14ac:dyDescent="0.2">
      <c r="A9" s="56"/>
      <c r="B9" s="118" t="s">
        <v>20</v>
      </c>
      <c r="C9" s="81"/>
      <c r="D9" s="82"/>
      <c r="E9" s="262"/>
      <c r="F9" s="263"/>
      <c r="G9" s="264"/>
    </row>
    <row r="10" spans="1:10" s="19" customFormat="1" x14ac:dyDescent="0.2">
      <c r="A10" s="56"/>
      <c r="B10" s="118" t="s">
        <v>21</v>
      </c>
      <c r="C10" s="81"/>
      <c r="D10" s="82"/>
      <c r="E10" s="262"/>
      <c r="F10" s="263"/>
      <c r="G10" s="264"/>
    </row>
    <row r="11" spans="1:10" s="19" customFormat="1" x14ac:dyDescent="0.2">
      <c r="A11" s="56"/>
      <c r="B11" s="118" t="s">
        <v>22</v>
      </c>
      <c r="C11" s="81"/>
      <c r="D11" s="82"/>
      <c r="E11" s="262"/>
      <c r="F11" s="263"/>
      <c r="G11" s="264"/>
    </row>
    <row r="12" spans="1:10" s="19" customFormat="1" x14ac:dyDescent="0.2">
      <c r="A12" s="56"/>
      <c r="B12" s="118" t="s">
        <v>23</v>
      </c>
      <c r="C12" s="81"/>
      <c r="D12" s="82"/>
      <c r="E12" s="262"/>
      <c r="F12" s="263"/>
      <c r="G12" s="264"/>
    </row>
    <row r="13" spans="1:10" s="19" customFormat="1" x14ac:dyDescent="0.2">
      <c r="A13" s="56"/>
      <c r="B13" s="118" t="s">
        <v>20</v>
      </c>
      <c r="C13" s="81"/>
      <c r="D13" s="82"/>
      <c r="E13" s="262"/>
      <c r="F13" s="263"/>
      <c r="G13" s="264"/>
    </row>
    <row r="14" spans="1:10" s="19" customFormat="1" x14ac:dyDescent="0.2">
      <c r="A14" s="56"/>
      <c r="B14" s="118" t="s">
        <v>24</v>
      </c>
      <c r="C14" s="81"/>
      <c r="D14" s="82"/>
      <c r="E14" s="262"/>
      <c r="F14" s="263"/>
      <c r="G14" s="264"/>
    </row>
    <row r="15" spans="1:10" s="19" customFormat="1" x14ac:dyDescent="0.2">
      <c r="A15" s="56"/>
      <c r="B15" s="118" t="s">
        <v>25</v>
      </c>
      <c r="C15" s="81"/>
      <c r="D15" s="82"/>
      <c r="E15" s="262"/>
      <c r="F15" s="263"/>
      <c r="G15" s="264"/>
    </row>
    <row r="16" spans="1:10" s="19" customFormat="1" x14ac:dyDescent="0.2">
      <c r="A16" s="56"/>
      <c r="B16" s="118" t="s">
        <v>26</v>
      </c>
      <c r="C16" s="81"/>
      <c r="D16" s="82"/>
      <c r="E16" s="262"/>
      <c r="F16" s="263"/>
      <c r="G16" s="264"/>
    </row>
    <row r="17" spans="1:7" s="19" customFormat="1" x14ac:dyDescent="0.2">
      <c r="A17" s="56"/>
      <c r="B17" s="118" t="s">
        <v>27</v>
      </c>
      <c r="C17" s="81"/>
      <c r="D17" s="82"/>
      <c r="E17" s="262"/>
      <c r="F17" s="263"/>
      <c r="G17" s="264"/>
    </row>
    <row r="18" spans="1:7" s="19" customFormat="1" x14ac:dyDescent="0.2">
      <c r="A18" s="56"/>
      <c r="B18" s="118" t="s">
        <v>28</v>
      </c>
      <c r="C18" s="81"/>
      <c r="D18" s="82"/>
      <c r="E18" s="262"/>
      <c r="F18" s="263"/>
      <c r="G18" s="264"/>
    </row>
    <row r="19" spans="1:7" s="19" customFormat="1" x14ac:dyDescent="0.2">
      <c r="A19" s="56"/>
      <c r="B19" s="118" t="s">
        <v>29</v>
      </c>
      <c r="C19" s="81"/>
      <c r="D19" s="82"/>
      <c r="E19" s="262"/>
      <c r="F19" s="263"/>
      <c r="G19" s="264"/>
    </row>
    <row r="20" spans="1:7" s="19" customFormat="1" x14ac:dyDescent="0.2">
      <c r="A20" s="56"/>
      <c r="B20" s="118"/>
      <c r="C20" s="81"/>
      <c r="D20" s="82"/>
      <c r="E20" s="262"/>
      <c r="F20" s="263"/>
      <c r="G20" s="264"/>
    </row>
    <row r="21" spans="1:7" s="19" customFormat="1" x14ac:dyDescent="0.2">
      <c r="A21" s="214">
        <v>1.2</v>
      </c>
      <c r="B21" s="141" t="s">
        <v>30</v>
      </c>
      <c r="C21" s="58"/>
      <c r="D21" s="59"/>
      <c r="E21" s="262"/>
      <c r="F21" s="263"/>
      <c r="G21" s="264"/>
    </row>
    <row r="22" spans="1:7" s="19" customFormat="1" ht="60.75" customHeight="1" x14ac:dyDescent="0.2">
      <c r="A22" s="56" t="s">
        <v>7</v>
      </c>
      <c r="B22" s="87" t="s">
        <v>215</v>
      </c>
      <c r="C22" s="58" t="s">
        <v>0</v>
      </c>
      <c r="D22" s="59">
        <v>1</v>
      </c>
      <c r="E22" s="262"/>
      <c r="F22" s="265"/>
      <c r="G22" s="266">
        <f t="shared" ref="G22:G32" si="0">(D22*E22)+(D22*F22)</f>
        <v>0</v>
      </c>
    </row>
    <row r="23" spans="1:7" s="19" customFormat="1" x14ac:dyDescent="0.2">
      <c r="A23" s="214"/>
      <c r="B23" s="87"/>
      <c r="C23" s="58"/>
      <c r="D23" s="59"/>
      <c r="E23" s="262"/>
      <c r="F23" s="265"/>
      <c r="G23" s="266">
        <f t="shared" si="0"/>
        <v>0</v>
      </c>
    </row>
    <row r="24" spans="1:7" s="19" customFormat="1" x14ac:dyDescent="0.2">
      <c r="A24" s="56">
        <v>1.3</v>
      </c>
      <c r="B24" s="141" t="s">
        <v>31</v>
      </c>
      <c r="C24" s="58"/>
      <c r="D24" s="59"/>
      <c r="E24" s="262"/>
      <c r="F24" s="265"/>
      <c r="G24" s="266">
        <f t="shared" si="0"/>
        <v>0</v>
      </c>
    </row>
    <row r="25" spans="1:7" s="19" customFormat="1" x14ac:dyDescent="0.2">
      <c r="A25" s="56" t="s">
        <v>7</v>
      </c>
      <c r="B25" s="216" t="s">
        <v>32</v>
      </c>
      <c r="C25" s="58" t="s">
        <v>33</v>
      </c>
      <c r="D25" s="59">
        <v>1</v>
      </c>
      <c r="E25" s="262"/>
      <c r="F25" s="265"/>
      <c r="G25" s="266">
        <f t="shared" si="0"/>
        <v>0</v>
      </c>
    </row>
    <row r="26" spans="1:7" s="19" customFormat="1" x14ac:dyDescent="0.2">
      <c r="A26" s="56"/>
      <c r="B26" s="216"/>
      <c r="C26" s="58"/>
      <c r="D26" s="59"/>
      <c r="E26" s="262"/>
      <c r="F26" s="265"/>
      <c r="G26" s="266">
        <f t="shared" si="0"/>
        <v>0</v>
      </c>
    </row>
    <row r="27" spans="1:7" s="19" customFormat="1" x14ac:dyDescent="0.2">
      <c r="A27" s="56" t="s">
        <v>159</v>
      </c>
      <c r="B27" s="217" t="s">
        <v>160</v>
      </c>
      <c r="C27" s="58"/>
      <c r="D27" s="59"/>
      <c r="E27" s="262"/>
      <c r="F27" s="265"/>
      <c r="G27" s="266">
        <f t="shared" si="0"/>
        <v>0</v>
      </c>
    </row>
    <row r="28" spans="1:7" s="19" customFormat="1" ht="39.75" customHeight="1" x14ac:dyDescent="0.2">
      <c r="A28" s="56" t="s">
        <v>7</v>
      </c>
      <c r="B28" s="102" t="s">
        <v>242</v>
      </c>
      <c r="C28" s="58" t="s">
        <v>0</v>
      </c>
      <c r="D28" s="59">
        <v>1</v>
      </c>
      <c r="E28" s="262"/>
      <c r="F28" s="265"/>
      <c r="G28" s="266">
        <f t="shared" si="0"/>
        <v>0</v>
      </c>
    </row>
    <row r="29" spans="1:7" s="19" customFormat="1" x14ac:dyDescent="0.2">
      <c r="A29" s="56"/>
      <c r="B29" s="216"/>
      <c r="C29" s="58"/>
      <c r="D29" s="59"/>
      <c r="E29" s="262"/>
      <c r="F29" s="265"/>
      <c r="G29" s="266"/>
    </row>
    <row r="30" spans="1:7" s="19" customFormat="1" x14ac:dyDescent="0.2">
      <c r="A30" s="63" t="s">
        <v>171</v>
      </c>
      <c r="B30" s="218" t="s">
        <v>34</v>
      </c>
      <c r="C30" s="65"/>
      <c r="D30" s="66"/>
      <c r="E30" s="262"/>
      <c r="F30" s="265"/>
      <c r="G30" s="266">
        <f t="shared" si="0"/>
        <v>0</v>
      </c>
    </row>
    <row r="31" spans="1:7" s="19" customFormat="1" ht="27.75" customHeight="1" x14ac:dyDescent="0.2">
      <c r="A31" s="56" t="s">
        <v>7</v>
      </c>
      <c r="B31" s="78" t="s">
        <v>35</v>
      </c>
      <c r="C31" s="58" t="s">
        <v>0</v>
      </c>
      <c r="D31" s="59">
        <v>1</v>
      </c>
      <c r="E31" s="262"/>
      <c r="F31" s="265"/>
      <c r="G31" s="266">
        <f t="shared" si="0"/>
        <v>0</v>
      </c>
    </row>
    <row r="32" spans="1:7" s="19" customFormat="1" x14ac:dyDescent="0.2">
      <c r="A32" s="214"/>
      <c r="B32" s="78"/>
      <c r="C32" s="58"/>
      <c r="D32" s="59"/>
      <c r="E32" s="262"/>
      <c r="F32" s="263"/>
      <c r="G32" s="266">
        <f t="shared" si="0"/>
        <v>0</v>
      </c>
    </row>
    <row r="33" spans="1:7" s="19" customFormat="1" x14ac:dyDescent="0.2">
      <c r="A33" s="214"/>
      <c r="B33" s="78"/>
      <c r="C33" s="58"/>
      <c r="D33" s="59"/>
      <c r="E33" s="262"/>
      <c r="F33" s="263"/>
      <c r="G33" s="264"/>
    </row>
    <row r="34" spans="1:7" s="19" customFormat="1" x14ac:dyDescent="0.2">
      <c r="A34" s="214"/>
      <c r="B34" s="78"/>
      <c r="C34" s="58"/>
      <c r="D34" s="59"/>
      <c r="E34" s="262"/>
      <c r="F34" s="263"/>
      <c r="G34" s="264"/>
    </row>
    <row r="35" spans="1:7" s="19" customFormat="1" x14ac:dyDescent="0.2">
      <c r="A35" s="214"/>
      <c r="B35" s="78"/>
      <c r="C35" s="58"/>
      <c r="D35" s="59"/>
      <c r="E35" s="262"/>
      <c r="F35" s="263"/>
      <c r="G35" s="264"/>
    </row>
    <row r="36" spans="1:7" s="19" customFormat="1" x14ac:dyDescent="0.2">
      <c r="A36" s="214"/>
      <c r="B36" s="78"/>
      <c r="C36" s="58"/>
      <c r="D36" s="59"/>
      <c r="E36" s="262"/>
      <c r="F36" s="263"/>
      <c r="G36" s="264"/>
    </row>
    <row r="37" spans="1:7" s="19" customFormat="1" x14ac:dyDescent="0.2">
      <c r="A37" s="214"/>
      <c r="B37" s="78"/>
      <c r="C37" s="58"/>
      <c r="D37" s="59"/>
      <c r="E37" s="262"/>
      <c r="F37" s="263"/>
      <c r="G37" s="264"/>
    </row>
    <row r="38" spans="1:7" s="19" customFormat="1" x14ac:dyDescent="0.2">
      <c r="A38" s="214"/>
      <c r="B38" s="78"/>
      <c r="C38" s="58"/>
      <c r="D38" s="59"/>
      <c r="E38" s="262"/>
      <c r="F38" s="263"/>
      <c r="G38" s="264"/>
    </row>
    <row r="39" spans="1:7" s="19" customFormat="1" x14ac:dyDescent="0.2">
      <c r="A39" s="214"/>
      <c r="B39" s="78"/>
      <c r="C39" s="58"/>
      <c r="D39" s="59"/>
      <c r="E39" s="262"/>
      <c r="F39" s="263"/>
      <c r="G39" s="264"/>
    </row>
    <row r="40" spans="1:7" s="19" customFormat="1" x14ac:dyDescent="0.2">
      <c r="A40" s="214"/>
      <c r="B40" s="78"/>
      <c r="C40" s="58"/>
      <c r="D40" s="59"/>
      <c r="E40" s="262"/>
      <c r="F40" s="263"/>
      <c r="G40" s="264"/>
    </row>
    <row r="41" spans="1:7" s="19" customFormat="1" x14ac:dyDescent="0.2">
      <c r="A41" s="214"/>
      <c r="B41" s="78"/>
      <c r="C41" s="58"/>
      <c r="D41" s="59"/>
      <c r="E41" s="262"/>
      <c r="F41" s="263"/>
      <c r="G41" s="264"/>
    </row>
    <row r="42" spans="1:7" s="19" customFormat="1" x14ac:dyDescent="0.2">
      <c r="A42" s="214"/>
      <c r="B42" s="78"/>
      <c r="C42" s="58"/>
      <c r="D42" s="59"/>
      <c r="E42" s="262"/>
      <c r="F42" s="263"/>
      <c r="G42" s="264"/>
    </row>
    <row r="43" spans="1:7" s="19" customFormat="1" x14ac:dyDescent="0.2">
      <c r="A43" s="214"/>
      <c r="B43" s="78"/>
      <c r="C43" s="58"/>
      <c r="D43" s="59"/>
      <c r="E43" s="262"/>
      <c r="F43" s="263"/>
      <c r="G43" s="264"/>
    </row>
    <row r="44" spans="1:7" s="19" customFormat="1" x14ac:dyDescent="0.2">
      <c r="A44" s="214"/>
      <c r="B44" s="78"/>
      <c r="C44" s="58"/>
      <c r="D44" s="59"/>
      <c r="E44" s="262"/>
      <c r="F44" s="263"/>
      <c r="G44" s="264"/>
    </row>
    <row r="45" spans="1:7" s="19" customFormat="1" x14ac:dyDescent="0.2">
      <c r="A45" s="214"/>
      <c r="B45" s="78"/>
      <c r="C45" s="58"/>
      <c r="D45" s="59"/>
      <c r="E45" s="262"/>
      <c r="F45" s="263"/>
      <c r="G45" s="264"/>
    </row>
    <row r="46" spans="1:7" s="19" customFormat="1" x14ac:dyDescent="0.2">
      <c r="A46" s="214"/>
      <c r="B46" s="78"/>
      <c r="C46" s="58"/>
      <c r="D46" s="59"/>
      <c r="E46" s="262"/>
      <c r="F46" s="263"/>
      <c r="G46" s="264"/>
    </row>
    <row r="47" spans="1:7" s="19" customFormat="1" x14ac:dyDescent="0.2">
      <c r="A47" s="214"/>
      <c r="B47" s="78"/>
      <c r="C47" s="58"/>
      <c r="D47" s="59"/>
      <c r="E47" s="262"/>
      <c r="F47" s="263"/>
      <c r="G47" s="264"/>
    </row>
    <row r="48" spans="1:7" s="19" customFormat="1" x14ac:dyDescent="0.2">
      <c r="A48" s="214"/>
      <c r="B48" s="78"/>
      <c r="C48" s="58"/>
      <c r="D48" s="59"/>
      <c r="E48" s="262"/>
      <c r="F48" s="263"/>
      <c r="G48" s="264"/>
    </row>
    <row r="49" spans="1:9" s="19" customFormat="1" ht="12.75" thickBot="1" x14ac:dyDescent="0.25">
      <c r="A49" s="214"/>
      <c r="B49" s="78"/>
      <c r="C49" s="58"/>
      <c r="D49" s="59"/>
      <c r="E49" s="262"/>
      <c r="F49" s="263"/>
      <c r="G49" s="264"/>
    </row>
    <row r="50" spans="1:9" s="19" customFormat="1" x14ac:dyDescent="0.2">
      <c r="A50" s="219"/>
      <c r="B50" s="220" t="s">
        <v>36</v>
      </c>
      <c r="C50" s="221"/>
      <c r="D50" s="222"/>
      <c r="E50" s="222"/>
      <c r="F50" s="222"/>
      <c r="G50" s="222"/>
    </row>
    <row r="51" spans="1:9" s="19" customFormat="1" ht="12.75" thickBot="1" x14ac:dyDescent="0.25">
      <c r="A51" s="223"/>
      <c r="B51" s="224" t="s">
        <v>37</v>
      </c>
      <c r="C51" s="225"/>
      <c r="D51" s="226"/>
      <c r="E51" s="334"/>
      <c r="F51" s="335"/>
      <c r="G51" s="336">
        <f>SUM(G22:G50)</f>
        <v>0</v>
      </c>
    </row>
    <row r="52" spans="1:9" s="19" customFormat="1" x14ac:dyDescent="0.2">
      <c r="A52" s="56"/>
      <c r="B52" s="146"/>
      <c r="C52" s="153"/>
      <c r="D52" s="59"/>
      <c r="E52" s="262"/>
      <c r="F52" s="263"/>
      <c r="G52" s="264"/>
    </row>
    <row r="53" spans="1:9" s="19" customFormat="1" x14ac:dyDescent="0.2">
      <c r="A53" s="56"/>
      <c r="B53" s="80" t="s">
        <v>38</v>
      </c>
      <c r="C53" s="81"/>
      <c r="D53" s="82"/>
      <c r="E53" s="262"/>
      <c r="F53" s="263"/>
      <c r="G53" s="264"/>
    </row>
    <row r="54" spans="1:9" s="19" customFormat="1" x14ac:dyDescent="0.2">
      <c r="A54" s="56"/>
      <c r="B54" s="80" t="s">
        <v>39</v>
      </c>
      <c r="C54" s="81"/>
      <c r="D54" s="82"/>
      <c r="E54" s="262"/>
      <c r="F54" s="263"/>
      <c r="G54" s="264"/>
    </row>
    <row r="55" spans="1:9" s="19" customFormat="1" x14ac:dyDescent="0.2">
      <c r="A55" s="56">
        <v>2.1</v>
      </c>
      <c r="B55" s="83" t="s">
        <v>40</v>
      </c>
      <c r="C55" s="81"/>
      <c r="D55" s="82"/>
      <c r="E55" s="262"/>
      <c r="F55" s="263"/>
      <c r="G55" s="264"/>
    </row>
    <row r="56" spans="1:9" s="19" customFormat="1" ht="65.25" customHeight="1" x14ac:dyDescent="0.2">
      <c r="A56" s="56"/>
      <c r="B56" s="84" t="s">
        <v>216</v>
      </c>
      <c r="C56" s="85"/>
      <c r="D56" s="85"/>
      <c r="E56" s="267"/>
      <c r="F56" s="267"/>
      <c r="G56" s="268"/>
    </row>
    <row r="57" spans="1:9" s="19" customFormat="1" x14ac:dyDescent="0.25">
      <c r="A57" s="46"/>
      <c r="B57" s="34"/>
      <c r="C57" s="34"/>
      <c r="D57" s="35"/>
      <c r="E57" s="269"/>
      <c r="F57" s="270"/>
      <c r="G57" s="271"/>
    </row>
    <row r="58" spans="1:9" s="19" customFormat="1" x14ac:dyDescent="0.2">
      <c r="A58" s="56" t="s">
        <v>10</v>
      </c>
      <c r="B58" s="86" t="s">
        <v>58</v>
      </c>
      <c r="C58" s="58"/>
      <c r="D58" s="74"/>
      <c r="E58" s="272"/>
      <c r="F58" s="265"/>
      <c r="G58" s="266">
        <f t="shared" ref="G58:G73" si="1">(D58*E58)+(D58*F58)</f>
        <v>0</v>
      </c>
    </row>
    <row r="59" spans="1:9" s="19" customFormat="1" ht="48.75" customHeight="1" x14ac:dyDescent="0.2">
      <c r="A59" s="56"/>
      <c r="B59" s="87" t="s">
        <v>59</v>
      </c>
      <c r="C59" s="58" t="s">
        <v>43</v>
      </c>
      <c r="D59" s="88">
        <v>800.95950000000005</v>
      </c>
      <c r="E59" s="262"/>
      <c r="F59" s="265"/>
      <c r="G59" s="266">
        <f t="shared" si="1"/>
        <v>0</v>
      </c>
      <c r="I59" s="19">
        <f>20.4*13.675</f>
        <v>278.96999999999997</v>
      </c>
    </row>
    <row r="60" spans="1:9" s="19" customFormat="1" x14ac:dyDescent="0.2">
      <c r="A60" s="56"/>
      <c r="B60" s="87"/>
      <c r="C60" s="58"/>
      <c r="D60" s="88"/>
      <c r="E60" s="262"/>
      <c r="F60" s="265"/>
      <c r="G60" s="266">
        <f t="shared" si="1"/>
        <v>0</v>
      </c>
    </row>
    <row r="61" spans="1:9" s="19" customFormat="1" x14ac:dyDescent="0.2">
      <c r="A61" s="56" t="s">
        <v>15</v>
      </c>
      <c r="B61" s="89" t="s">
        <v>41</v>
      </c>
      <c r="C61" s="58"/>
      <c r="D61" s="90"/>
      <c r="E61" s="262"/>
      <c r="F61" s="265"/>
      <c r="G61" s="266">
        <f t="shared" si="1"/>
        <v>0</v>
      </c>
    </row>
    <row r="62" spans="1:9" s="19" customFormat="1" ht="51" customHeight="1" x14ac:dyDescent="0.2">
      <c r="A62" s="56"/>
      <c r="B62" s="91" t="s">
        <v>42</v>
      </c>
      <c r="C62" s="58" t="s">
        <v>43</v>
      </c>
      <c r="D62" s="88">
        <v>50</v>
      </c>
      <c r="E62" s="262"/>
      <c r="F62" s="265"/>
      <c r="G62" s="266">
        <f t="shared" si="1"/>
        <v>0</v>
      </c>
      <c r="I62" s="19">
        <f>16.336*8.75</f>
        <v>142.94</v>
      </c>
    </row>
    <row r="63" spans="1:9" s="19" customFormat="1" x14ac:dyDescent="0.2">
      <c r="A63" s="56"/>
      <c r="B63" s="92"/>
      <c r="C63" s="58"/>
      <c r="D63" s="59"/>
      <c r="E63" s="262"/>
      <c r="F63" s="265"/>
      <c r="G63" s="266">
        <f t="shared" si="1"/>
        <v>0</v>
      </c>
    </row>
    <row r="64" spans="1:9" s="19" customFormat="1" x14ac:dyDescent="0.2">
      <c r="A64" s="56" t="s">
        <v>46</v>
      </c>
      <c r="B64" s="64" t="s">
        <v>44</v>
      </c>
      <c r="C64" s="58"/>
      <c r="D64" s="59"/>
      <c r="E64" s="262"/>
      <c r="F64" s="265"/>
      <c r="G64" s="266">
        <f t="shared" si="1"/>
        <v>0</v>
      </c>
    </row>
    <row r="65" spans="1:18" s="19" customFormat="1" ht="50.25" customHeight="1" x14ac:dyDescent="0.2">
      <c r="A65" s="47"/>
      <c r="B65" s="93" t="s">
        <v>347</v>
      </c>
      <c r="C65" s="94"/>
      <c r="D65" s="94"/>
      <c r="E65" s="273"/>
      <c r="F65" s="265"/>
      <c r="G65" s="266">
        <f t="shared" si="1"/>
        <v>0</v>
      </c>
      <c r="I65" s="19">
        <f>1.1*1.1*6</f>
        <v>7.2600000000000016</v>
      </c>
      <c r="J65" s="19">
        <f>1.45*1.45*8</f>
        <v>16.82</v>
      </c>
      <c r="K65" s="19">
        <f>1.35*1.35*11</f>
        <v>20.047500000000003</v>
      </c>
      <c r="L65" s="19">
        <f>1.2*1.2*4</f>
        <v>5.76</v>
      </c>
      <c r="M65" s="19">
        <f>0.9*0.9*2</f>
        <v>1.62</v>
      </c>
      <c r="N65" s="19">
        <f>1.25*1.25*4</f>
        <v>6.25</v>
      </c>
      <c r="O65" s="19">
        <f>1.95*1.95*4</f>
        <v>15.209999999999999</v>
      </c>
      <c r="P65" s="19">
        <f>2.05*2.05*4</f>
        <v>16.809999999999999</v>
      </c>
      <c r="Q65" s="19">
        <f>SUM(I64:P65)</f>
        <v>89.777500000000003</v>
      </c>
      <c r="R65" s="19">
        <f>Q65*1.25</f>
        <v>112.22187500000001</v>
      </c>
    </row>
    <row r="66" spans="1:18" s="19" customFormat="1" ht="12.75" customHeight="1" x14ac:dyDescent="0.25">
      <c r="A66" s="56" t="s">
        <v>48</v>
      </c>
      <c r="B66" s="95" t="s">
        <v>44</v>
      </c>
      <c r="C66" s="58"/>
      <c r="D66" s="59"/>
      <c r="E66" s="262"/>
      <c r="F66" s="265"/>
      <c r="G66" s="266">
        <f t="shared" si="1"/>
        <v>0</v>
      </c>
      <c r="I66" s="19">
        <f>3.195+3.255+1.25+2.87+2.93+2.72+2.93+2.98*3+2.92*3+3.195+3.255+1.25+2.175+2.15+2.2*7+2.225+2.175+2.1*3+2.15*5+2.225+2.5+2.4*3+2.225*5+2.325+1.85*2+4.75*2+4.85*2</f>
        <v>133.99999999999997</v>
      </c>
      <c r="J66" s="45">
        <f>I66*0.55*0.95</f>
        <v>70.014999999999986</v>
      </c>
      <c r="K66" s="17"/>
      <c r="L66" s="17">
        <f>J66+R65</f>
        <v>182.236875</v>
      </c>
      <c r="M66" s="17"/>
    </row>
    <row r="67" spans="1:18" s="17" customFormat="1" ht="15" x14ac:dyDescent="0.25">
      <c r="A67" s="79" t="s">
        <v>7</v>
      </c>
      <c r="B67" s="96" t="s">
        <v>362</v>
      </c>
      <c r="C67" s="58" t="s">
        <v>45</v>
      </c>
      <c r="D67" s="59">
        <v>11.25</v>
      </c>
      <c r="E67" s="262"/>
      <c r="F67" s="274"/>
      <c r="G67" s="275">
        <f t="shared" si="1"/>
        <v>0</v>
      </c>
      <c r="J67" s="45"/>
    </row>
    <row r="68" spans="1:18" s="17" customFormat="1" ht="15" x14ac:dyDescent="0.25">
      <c r="A68" s="79" t="s">
        <v>360</v>
      </c>
      <c r="B68" s="96" t="s">
        <v>363</v>
      </c>
      <c r="C68" s="58" t="s">
        <v>45</v>
      </c>
      <c r="D68" s="59">
        <v>50.399999999999991</v>
      </c>
      <c r="E68" s="262"/>
      <c r="F68" s="274"/>
      <c r="G68" s="275">
        <f t="shared" ref="G68" si="2">(D68*E68)+(D68*F68)</f>
        <v>0</v>
      </c>
      <c r="J68" s="45"/>
    </row>
    <row r="69" spans="1:18" s="17" customFormat="1" ht="15" x14ac:dyDescent="0.25">
      <c r="A69" s="79" t="s">
        <v>361</v>
      </c>
      <c r="B69" s="96" t="s">
        <v>364</v>
      </c>
      <c r="C69" s="58" t="s">
        <v>45</v>
      </c>
      <c r="D69" s="59">
        <v>23.04</v>
      </c>
      <c r="E69" s="262"/>
      <c r="F69" s="274"/>
      <c r="G69" s="275">
        <f t="shared" ref="G69" si="3">(D69*E69)+(D69*F69)</f>
        <v>0</v>
      </c>
      <c r="J69" s="45"/>
    </row>
    <row r="70" spans="1:18" s="17" customFormat="1" ht="15" x14ac:dyDescent="0.25">
      <c r="A70" s="79" t="s">
        <v>365</v>
      </c>
      <c r="B70" s="96" t="s">
        <v>366</v>
      </c>
      <c r="C70" s="58" t="s">
        <v>45</v>
      </c>
      <c r="D70" s="59">
        <v>5.3999999999999995</v>
      </c>
      <c r="E70" s="262"/>
      <c r="F70" s="274"/>
      <c r="G70" s="275">
        <f t="shared" ref="G70" si="4">(D70*E70)+(D70*F70)</f>
        <v>0</v>
      </c>
      <c r="J70" s="45"/>
    </row>
    <row r="71" spans="1:18" x14ac:dyDescent="0.2">
      <c r="A71" s="56"/>
      <c r="B71" s="67" t="s">
        <v>368</v>
      </c>
      <c r="C71" s="58" t="s">
        <v>45</v>
      </c>
      <c r="D71" s="59">
        <v>65.666749999999993</v>
      </c>
      <c r="E71" s="262"/>
      <c r="F71" s="265"/>
      <c r="G71" s="266">
        <f t="shared" ref="G71:G72" si="5">(D71*E71)+(D71*F71)</f>
        <v>0</v>
      </c>
      <c r="I71" s="26">
        <f>32.2*4+4.02*2+4.08*2+1.8*2</f>
        <v>148.6</v>
      </c>
      <c r="J71" s="21">
        <f>I71*0.25*0.45</f>
        <v>16.717500000000001</v>
      </c>
      <c r="K71" s="21"/>
      <c r="L71" s="49"/>
      <c r="M71" s="19"/>
      <c r="N71" s="49"/>
    </row>
    <row r="72" spans="1:18" x14ac:dyDescent="0.2">
      <c r="A72" s="56"/>
      <c r="B72" s="67" t="s">
        <v>369</v>
      </c>
      <c r="C72" s="58" t="s">
        <v>45</v>
      </c>
      <c r="D72" s="59">
        <v>34.506</v>
      </c>
      <c r="E72" s="262"/>
      <c r="F72" s="265"/>
      <c r="G72" s="266">
        <f t="shared" si="5"/>
        <v>0</v>
      </c>
      <c r="I72" s="26">
        <f>8.3*5</f>
        <v>41.5</v>
      </c>
      <c r="J72" s="21">
        <f>I72*0.25*0.45</f>
        <v>4.6687500000000002</v>
      </c>
      <c r="K72" s="21"/>
      <c r="L72" s="49"/>
      <c r="M72" s="19"/>
      <c r="N72" s="49"/>
    </row>
    <row r="73" spans="1:18" s="19" customFormat="1" x14ac:dyDescent="0.2">
      <c r="A73" s="56"/>
      <c r="B73" s="67"/>
      <c r="C73" s="58"/>
      <c r="D73" s="59"/>
      <c r="E73" s="262"/>
      <c r="F73" s="263"/>
      <c r="G73" s="266">
        <f t="shared" si="1"/>
        <v>0</v>
      </c>
    </row>
    <row r="74" spans="1:18" s="19" customFormat="1" x14ac:dyDescent="0.2">
      <c r="A74" s="56" t="s">
        <v>448</v>
      </c>
      <c r="B74" s="97" t="s">
        <v>47</v>
      </c>
      <c r="C74" s="58"/>
      <c r="D74" s="59"/>
      <c r="E74" s="262"/>
      <c r="F74" s="263"/>
      <c r="G74" s="264"/>
    </row>
    <row r="75" spans="1:18" s="19" customFormat="1" ht="25.5" customHeight="1" x14ac:dyDescent="0.25">
      <c r="A75" s="56"/>
      <c r="B75" s="60" t="s">
        <v>234</v>
      </c>
      <c r="C75" s="61"/>
      <c r="D75" s="61"/>
      <c r="E75" s="276"/>
      <c r="F75" s="263"/>
      <c r="G75" s="264"/>
    </row>
    <row r="76" spans="1:18" s="19" customFormat="1" ht="25.5" customHeight="1" x14ac:dyDescent="0.25">
      <c r="A76" s="56"/>
      <c r="B76" s="78" t="s">
        <v>235</v>
      </c>
      <c r="C76" s="98"/>
      <c r="D76" s="98"/>
      <c r="E76" s="277"/>
      <c r="F76" s="263"/>
      <c r="G76" s="264"/>
    </row>
    <row r="77" spans="1:18" s="19" customFormat="1" ht="24" x14ac:dyDescent="0.2">
      <c r="A77" s="56" t="s">
        <v>162</v>
      </c>
      <c r="B77" s="99" t="s">
        <v>367</v>
      </c>
      <c r="C77" s="58" t="s">
        <v>43</v>
      </c>
      <c r="D77" s="88">
        <v>800.95950000000005</v>
      </c>
      <c r="E77" s="262"/>
      <c r="F77" s="265"/>
      <c r="G77" s="266">
        <f t="shared" ref="G77:G82" si="6">(D77*E77)+(D77*F77)</f>
        <v>0</v>
      </c>
      <c r="I77" s="19">
        <f>32.2*10.725</f>
        <v>345.34500000000003</v>
      </c>
    </row>
    <row r="78" spans="1:18" s="19" customFormat="1" ht="38.25" customHeight="1" x14ac:dyDescent="0.2">
      <c r="A78" s="56" t="s">
        <v>163</v>
      </c>
      <c r="B78" s="99" t="s">
        <v>263</v>
      </c>
      <c r="C78" s="58" t="s">
        <v>43</v>
      </c>
      <c r="D78" s="88">
        <v>800.95950000000005</v>
      </c>
      <c r="E78" s="262"/>
      <c r="F78" s="265"/>
      <c r="G78" s="266">
        <f t="shared" si="6"/>
        <v>0</v>
      </c>
    </row>
    <row r="79" spans="1:18" s="19" customFormat="1" x14ac:dyDescent="0.2">
      <c r="A79" s="56" t="s">
        <v>327</v>
      </c>
      <c r="B79" s="64" t="s">
        <v>49</v>
      </c>
      <c r="C79" s="58"/>
      <c r="D79" s="59"/>
      <c r="E79" s="262"/>
      <c r="F79" s="265"/>
      <c r="G79" s="266">
        <f t="shared" si="6"/>
        <v>0</v>
      </c>
    </row>
    <row r="80" spans="1:18" s="19" customFormat="1" ht="27" customHeight="1" x14ac:dyDescent="0.2">
      <c r="A80" s="56"/>
      <c r="B80" s="100" t="s">
        <v>50</v>
      </c>
      <c r="C80" s="58"/>
      <c r="D80" s="59"/>
      <c r="E80" s="262"/>
      <c r="F80" s="265"/>
      <c r="G80" s="266">
        <f t="shared" si="6"/>
        <v>0</v>
      </c>
    </row>
    <row r="81" spans="1:18" s="19" customFormat="1" ht="24" x14ac:dyDescent="0.2">
      <c r="A81" s="56" t="s">
        <v>162</v>
      </c>
      <c r="B81" s="100" t="s">
        <v>51</v>
      </c>
      <c r="C81" s="58" t="s">
        <v>43</v>
      </c>
      <c r="D81" s="59">
        <v>188.61500000000001</v>
      </c>
      <c r="E81" s="262"/>
      <c r="F81" s="265"/>
      <c r="G81" s="266">
        <f t="shared" si="6"/>
        <v>0</v>
      </c>
      <c r="I81" s="21"/>
      <c r="J81" s="21"/>
    </row>
    <row r="82" spans="1:18" s="19" customFormat="1" x14ac:dyDescent="0.2">
      <c r="A82" s="56"/>
      <c r="B82" s="100"/>
      <c r="C82" s="58"/>
      <c r="D82" s="59"/>
      <c r="E82" s="262"/>
      <c r="F82" s="263"/>
      <c r="G82" s="266">
        <f t="shared" si="6"/>
        <v>0</v>
      </c>
      <c r="I82" s="21"/>
    </row>
    <row r="83" spans="1:18" s="19" customFormat="1" x14ac:dyDescent="0.2">
      <c r="A83" s="56"/>
      <c r="B83" s="100"/>
      <c r="C83" s="58"/>
      <c r="D83" s="59"/>
      <c r="E83" s="262"/>
      <c r="F83" s="263"/>
      <c r="G83" s="264"/>
    </row>
    <row r="84" spans="1:18" s="19" customFormat="1" ht="12.75" thickBot="1" x14ac:dyDescent="0.25">
      <c r="A84" s="56"/>
      <c r="B84" s="100"/>
      <c r="C84" s="58"/>
      <c r="D84" s="59"/>
      <c r="E84" s="59"/>
      <c r="F84" s="59"/>
      <c r="G84" s="59"/>
    </row>
    <row r="85" spans="1:18" s="19" customFormat="1" x14ac:dyDescent="0.2">
      <c r="A85" s="219"/>
      <c r="B85" s="220" t="s">
        <v>52</v>
      </c>
      <c r="C85" s="227"/>
      <c r="D85" s="222"/>
      <c r="E85" s="222"/>
      <c r="F85" s="222"/>
      <c r="G85" s="222"/>
    </row>
    <row r="86" spans="1:18" s="19" customFormat="1" ht="12.75" thickBot="1" x14ac:dyDescent="0.25">
      <c r="A86" s="223"/>
      <c r="B86" s="224" t="s">
        <v>53</v>
      </c>
      <c r="C86" s="228"/>
      <c r="D86" s="226"/>
      <c r="E86" s="334"/>
      <c r="F86" s="335"/>
      <c r="G86" s="336">
        <f>SUM(G59:G85)</f>
        <v>0</v>
      </c>
    </row>
    <row r="87" spans="1:18" s="19" customFormat="1" x14ac:dyDescent="0.2">
      <c r="A87" s="56"/>
      <c r="B87" s="80" t="s">
        <v>54</v>
      </c>
      <c r="C87" s="58"/>
      <c r="D87" s="59"/>
      <c r="E87" s="262"/>
      <c r="F87" s="263"/>
      <c r="G87" s="264"/>
    </row>
    <row r="88" spans="1:18" s="19" customFormat="1" x14ac:dyDescent="0.2">
      <c r="A88" s="56" t="s">
        <v>55</v>
      </c>
      <c r="B88" s="57" t="s">
        <v>56</v>
      </c>
      <c r="C88" s="58"/>
      <c r="D88" s="59"/>
      <c r="E88" s="262"/>
      <c r="F88" s="263"/>
      <c r="G88" s="264"/>
    </row>
    <row r="89" spans="1:18" s="19" customFormat="1" ht="58.5" customHeight="1" x14ac:dyDescent="0.25">
      <c r="A89" s="56"/>
      <c r="B89" s="60" t="s">
        <v>218</v>
      </c>
      <c r="C89" s="61"/>
      <c r="D89" s="61"/>
      <c r="E89" s="276"/>
      <c r="F89" s="276"/>
      <c r="G89" s="278"/>
    </row>
    <row r="90" spans="1:18" s="19" customFormat="1" ht="35.25" customHeight="1" x14ac:dyDescent="0.25">
      <c r="A90" s="56"/>
      <c r="B90" s="62" t="s">
        <v>217</v>
      </c>
      <c r="C90" s="61"/>
      <c r="D90" s="61"/>
      <c r="E90" s="276"/>
      <c r="F90" s="276"/>
      <c r="G90" s="278"/>
    </row>
    <row r="91" spans="1:18" s="19" customFormat="1" ht="36" customHeight="1" x14ac:dyDescent="0.25">
      <c r="A91" s="56"/>
      <c r="B91" s="60" t="s">
        <v>153</v>
      </c>
      <c r="C91" s="61"/>
      <c r="D91" s="61"/>
      <c r="E91" s="276"/>
      <c r="F91" s="276"/>
      <c r="G91" s="278"/>
    </row>
    <row r="92" spans="1:18" s="19" customFormat="1" ht="15" customHeight="1" x14ac:dyDescent="0.2">
      <c r="A92" s="367" t="s">
        <v>60</v>
      </c>
      <c r="B92" s="313" t="s">
        <v>61</v>
      </c>
      <c r="C92" s="314"/>
      <c r="D92" s="285"/>
      <c r="E92" s="262"/>
      <c r="F92" s="263"/>
      <c r="G92" s="264"/>
    </row>
    <row r="93" spans="1:18" s="48" customFormat="1" ht="14.25" customHeight="1" x14ac:dyDescent="0.25">
      <c r="A93" s="63"/>
      <c r="B93" s="64" t="s">
        <v>247</v>
      </c>
      <c r="C93" s="65"/>
      <c r="D93" s="66"/>
      <c r="E93" s="279"/>
      <c r="F93" s="280"/>
      <c r="G93" s="281"/>
      <c r="I93" s="19">
        <f>1.1*1.1*6</f>
        <v>7.2600000000000016</v>
      </c>
      <c r="J93" s="19">
        <f>1.45*1.45*8</f>
        <v>16.82</v>
      </c>
      <c r="K93" s="19">
        <f>1.35*1.35*11</f>
        <v>20.047500000000003</v>
      </c>
      <c r="L93" s="19">
        <f>1.2*1.2*4</f>
        <v>5.76</v>
      </c>
      <c r="M93" s="19">
        <f>0.9*0.9*2</f>
        <v>1.62</v>
      </c>
      <c r="N93" s="19">
        <f>1.25*1.25*4</f>
        <v>6.25</v>
      </c>
      <c r="O93" s="19">
        <f>1.95*1.95*4</f>
        <v>15.209999999999999</v>
      </c>
      <c r="P93" s="19">
        <f>2.05*2.05*4</f>
        <v>16.809999999999999</v>
      </c>
      <c r="Q93" s="19">
        <f>SUM(I92:P93)</f>
        <v>89.777500000000003</v>
      </c>
      <c r="R93" s="19">
        <f>Q93</f>
        <v>89.777500000000003</v>
      </c>
    </row>
    <row r="94" spans="1:18" s="19" customFormat="1" ht="12" customHeight="1" x14ac:dyDescent="0.25">
      <c r="A94" s="56"/>
      <c r="B94" s="67" t="s">
        <v>260</v>
      </c>
      <c r="C94" s="58" t="s">
        <v>43</v>
      </c>
      <c r="D94" s="59">
        <v>163.47999999999999</v>
      </c>
      <c r="E94" s="262"/>
      <c r="F94" s="265"/>
      <c r="G94" s="266">
        <f t="shared" ref="G94" si="7">(D94*E94)+(D94*F94)</f>
        <v>0</v>
      </c>
      <c r="I94" s="19">
        <f>3.195+3.255+1.25+2.87+2.93+2.72+2.93+2.98*3+2.92*3+3.195+3.255+1.25+2.175+2.15+2.2*7+2.225+2.175+2.1*3+2.15*5+2.225+2.5+2.4*3+2.225*5+2.325+1.85*2+4.75*2+4.85*2</f>
        <v>133.99999999999997</v>
      </c>
      <c r="J94" s="45">
        <f>I94*0.55</f>
        <v>73.699999999999989</v>
      </c>
      <c r="K94" s="17"/>
      <c r="L94" s="17">
        <f>J94+R93</f>
        <v>163.47749999999999</v>
      </c>
      <c r="M94" s="17"/>
    </row>
    <row r="95" spans="1:18" s="19" customFormat="1" ht="15" customHeight="1" x14ac:dyDescent="0.2">
      <c r="A95" s="315" t="s">
        <v>483</v>
      </c>
      <c r="B95" s="316" t="s">
        <v>13</v>
      </c>
      <c r="C95" s="317"/>
      <c r="D95" s="285"/>
      <c r="E95" s="262"/>
      <c r="F95" s="263"/>
      <c r="G95" s="264"/>
    </row>
    <row r="96" spans="1:18" x14ac:dyDescent="0.2">
      <c r="A96" s="368" t="s">
        <v>146</v>
      </c>
      <c r="B96" s="68" t="s">
        <v>62</v>
      </c>
      <c r="C96" s="69"/>
      <c r="D96" s="70"/>
      <c r="E96" s="282"/>
      <c r="F96" s="283"/>
      <c r="G96" s="284"/>
    </row>
    <row r="97" spans="1:18" s="17" customFormat="1" ht="15" x14ac:dyDescent="0.25">
      <c r="A97" s="79" t="s">
        <v>7</v>
      </c>
      <c r="B97" s="96" t="s">
        <v>362</v>
      </c>
      <c r="C97" s="58" t="s">
        <v>45</v>
      </c>
      <c r="D97" s="59">
        <v>12.599999999999998</v>
      </c>
      <c r="E97" s="262"/>
      <c r="F97" s="274"/>
      <c r="G97" s="275">
        <f t="shared" ref="G97:G100" si="8">(D97*E97)+(D97*F97)</f>
        <v>0</v>
      </c>
      <c r="J97" s="45"/>
    </row>
    <row r="98" spans="1:18" s="17" customFormat="1" ht="15" x14ac:dyDescent="0.25">
      <c r="A98" s="79" t="s">
        <v>360</v>
      </c>
      <c r="B98" s="96" t="s">
        <v>363</v>
      </c>
      <c r="C98" s="58" t="s">
        <v>45</v>
      </c>
      <c r="D98" s="59">
        <v>1.008</v>
      </c>
      <c r="E98" s="262"/>
      <c r="F98" s="274"/>
      <c r="G98" s="275">
        <f t="shared" si="8"/>
        <v>0</v>
      </c>
      <c r="J98" s="45"/>
    </row>
    <row r="99" spans="1:18" s="17" customFormat="1" ht="15" x14ac:dyDescent="0.25">
      <c r="A99" s="79" t="s">
        <v>361</v>
      </c>
      <c r="B99" s="96" t="s">
        <v>364</v>
      </c>
      <c r="C99" s="58" t="s">
        <v>45</v>
      </c>
      <c r="D99" s="59">
        <v>2.496</v>
      </c>
      <c r="E99" s="262"/>
      <c r="F99" s="274"/>
      <c r="G99" s="275">
        <f t="shared" si="8"/>
        <v>0</v>
      </c>
      <c r="J99" s="45"/>
    </row>
    <row r="100" spans="1:18" s="17" customFormat="1" ht="15" x14ac:dyDescent="0.25">
      <c r="A100" s="79" t="s">
        <v>365</v>
      </c>
      <c r="B100" s="96" t="s">
        <v>366</v>
      </c>
      <c r="C100" s="58" t="s">
        <v>45</v>
      </c>
      <c r="D100" s="59">
        <v>4.8937499999999998</v>
      </c>
      <c r="E100" s="262"/>
      <c r="F100" s="274"/>
      <c r="G100" s="275">
        <f t="shared" si="8"/>
        <v>0</v>
      </c>
      <c r="J100" s="45"/>
    </row>
    <row r="101" spans="1:18" x14ac:dyDescent="0.2">
      <c r="A101" s="56"/>
      <c r="B101" s="67" t="s">
        <v>368</v>
      </c>
      <c r="C101" s="58" t="s">
        <v>45</v>
      </c>
      <c r="D101" s="59">
        <v>27.039249999999996</v>
      </c>
      <c r="E101" s="262"/>
      <c r="F101" s="265"/>
      <c r="G101" s="266">
        <f t="shared" ref="G101:G102" si="9">(D101*E101)+(D101*F101)</f>
        <v>0</v>
      </c>
      <c r="I101" s="26">
        <f>32.2*4+4.02*2+4.08*2+1.8*2</f>
        <v>148.6</v>
      </c>
      <c r="J101" s="21">
        <f>I101*0.25*0.45</f>
        <v>16.717500000000001</v>
      </c>
      <c r="K101" s="21"/>
      <c r="L101" s="49"/>
      <c r="M101" s="19"/>
      <c r="N101" s="49"/>
    </row>
    <row r="102" spans="1:18" x14ac:dyDescent="0.2">
      <c r="A102" s="56"/>
      <c r="B102" s="67" t="s">
        <v>369</v>
      </c>
      <c r="C102" s="58" t="s">
        <v>45</v>
      </c>
      <c r="D102" s="59">
        <v>11.502000000000001</v>
      </c>
      <c r="E102" s="262"/>
      <c r="F102" s="265"/>
      <c r="G102" s="266">
        <f t="shared" si="9"/>
        <v>0</v>
      </c>
      <c r="I102" s="26">
        <f>8.3*5</f>
        <v>41.5</v>
      </c>
      <c r="J102" s="21">
        <f>I102*0.25*0.45</f>
        <v>4.6687500000000002</v>
      </c>
      <c r="K102" s="21"/>
      <c r="L102" s="49"/>
      <c r="M102" s="19"/>
      <c r="N102" s="49"/>
    </row>
    <row r="103" spans="1:18" x14ac:dyDescent="0.2">
      <c r="A103" s="368" t="s">
        <v>147</v>
      </c>
      <c r="B103" s="68" t="s">
        <v>65</v>
      </c>
      <c r="C103" s="69"/>
      <c r="D103" s="70"/>
      <c r="E103" s="282"/>
      <c r="F103" s="283"/>
      <c r="G103" s="284"/>
    </row>
    <row r="104" spans="1:18" x14ac:dyDescent="0.2">
      <c r="A104" s="71" t="s">
        <v>151</v>
      </c>
      <c r="B104" s="75" t="s">
        <v>169</v>
      </c>
      <c r="C104" s="76"/>
      <c r="D104" s="77"/>
      <c r="E104" s="282"/>
      <c r="F104" s="283"/>
      <c r="G104" s="284"/>
    </row>
    <row r="105" spans="1:18" ht="13.5" x14ac:dyDescent="0.2">
      <c r="A105" s="71"/>
      <c r="B105" s="72" t="s">
        <v>370</v>
      </c>
      <c r="C105" s="73" t="s">
        <v>136</v>
      </c>
      <c r="D105" s="74">
        <v>10.8</v>
      </c>
      <c r="E105" s="262"/>
      <c r="F105" s="265"/>
      <c r="G105" s="266">
        <f t="shared" ref="G105:G106" si="10">(D105*E105)+(D105*F105)</f>
        <v>0</v>
      </c>
      <c r="I105" s="16">
        <f>0.2*0.2*4.275*35</f>
        <v>5.9850000000000012</v>
      </c>
      <c r="N105" s="16">
        <v>10</v>
      </c>
      <c r="O105" s="16">
        <v>1</v>
      </c>
      <c r="P105" s="16">
        <v>10</v>
      </c>
      <c r="Q105" s="16">
        <f>P105*O105</f>
        <v>10</v>
      </c>
      <c r="R105" s="16">
        <f>Q105*N105</f>
        <v>100</v>
      </c>
    </row>
    <row r="106" spans="1:18" ht="13.5" x14ac:dyDescent="0.2">
      <c r="A106" s="71"/>
      <c r="B106" s="72" t="s">
        <v>371</v>
      </c>
      <c r="C106" s="73" t="s">
        <v>136</v>
      </c>
      <c r="D106" s="74">
        <v>2.5</v>
      </c>
      <c r="E106" s="262"/>
      <c r="F106" s="265"/>
      <c r="G106" s="266">
        <f t="shared" si="10"/>
        <v>0</v>
      </c>
      <c r="I106" s="16">
        <f>0.4*0.2*4.275*5</f>
        <v>1.7100000000000004</v>
      </c>
      <c r="N106" s="16">
        <v>-10</v>
      </c>
      <c r="O106" s="16">
        <v>1</v>
      </c>
      <c r="P106" s="16">
        <v>30</v>
      </c>
      <c r="Q106" s="16">
        <f>P106*O106</f>
        <v>30</v>
      </c>
      <c r="R106" s="16">
        <f>Q106*N106</f>
        <v>-300</v>
      </c>
    </row>
    <row r="107" spans="1:18" ht="13.5" x14ac:dyDescent="0.2">
      <c r="A107" s="71"/>
      <c r="B107" s="72" t="s">
        <v>372</v>
      </c>
      <c r="C107" s="73" t="s">
        <v>136</v>
      </c>
      <c r="D107" s="74">
        <v>9</v>
      </c>
      <c r="E107" s="262"/>
      <c r="F107" s="265"/>
      <c r="G107" s="266">
        <f t="shared" ref="G107" si="11">(D107*E107)+(D107*F107)</f>
        <v>0</v>
      </c>
      <c r="I107" s="16">
        <f>0.15*0.15*3.825*6</f>
        <v>0.51637500000000003</v>
      </c>
      <c r="R107" s="16">
        <f>SUM(R105:R106)</f>
        <v>-200</v>
      </c>
    </row>
    <row r="108" spans="1:18" x14ac:dyDescent="0.2">
      <c r="A108" s="71" t="s">
        <v>10</v>
      </c>
      <c r="B108" s="75" t="s">
        <v>193</v>
      </c>
      <c r="C108" s="76"/>
      <c r="D108" s="77"/>
      <c r="E108" s="282"/>
      <c r="F108" s="265"/>
      <c r="G108" s="266">
        <f t="shared" ref="G108:G109" si="12">(D108*E108)+(D108*F108)</f>
        <v>0</v>
      </c>
    </row>
    <row r="109" spans="1:18" ht="13.5" x14ac:dyDescent="0.2">
      <c r="A109" s="71"/>
      <c r="B109" s="72" t="s">
        <v>265</v>
      </c>
      <c r="C109" s="73" t="s">
        <v>136</v>
      </c>
      <c r="D109" s="74">
        <v>3.1</v>
      </c>
      <c r="E109" s="262"/>
      <c r="F109" s="265"/>
      <c r="G109" s="266">
        <f t="shared" si="12"/>
        <v>0</v>
      </c>
    </row>
    <row r="110" spans="1:18" x14ac:dyDescent="0.2">
      <c r="A110" s="71" t="s">
        <v>15</v>
      </c>
      <c r="B110" s="75" t="s">
        <v>196</v>
      </c>
      <c r="C110" s="76"/>
      <c r="D110" s="77"/>
      <c r="E110" s="282"/>
      <c r="F110" s="265"/>
      <c r="G110" s="266">
        <f t="shared" ref="G110:G111" si="13">(D110*E110)+(D110*F110)</f>
        <v>0</v>
      </c>
    </row>
    <row r="111" spans="1:18" ht="13.5" x14ac:dyDescent="0.2">
      <c r="A111" s="71"/>
      <c r="B111" s="72" t="s">
        <v>264</v>
      </c>
      <c r="C111" s="73" t="s">
        <v>136</v>
      </c>
      <c r="D111" s="74">
        <v>80.095950000000016</v>
      </c>
      <c r="E111" s="262"/>
      <c r="F111" s="265"/>
      <c r="G111" s="266">
        <f t="shared" si="13"/>
        <v>0</v>
      </c>
      <c r="I111" s="16">
        <f>32.2*11.075</f>
        <v>356.61500000000001</v>
      </c>
      <c r="J111" s="16">
        <f>32.2*0.15*2</f>
        <v>9.66</v>
      </c>
      <c r="K111" s="16">
        <f>SUM(I111:J111)</f>
        <v>366.27500000000003</v>
      </c>
      <c r="L111" s="16">
        <f>K111*0.1</f>
        <v>36.627500000000005</v>
      </c>
    </row>
    <row r="112" spans="1:18" x14ac:dyDescent="0.2">
      <c r="A112" s="368" t="s">
        <v>55</v>
      </c>
      <c r="B112" s="68" t="s">
        <v>67</v>
      </c>
      <c r="C112" s="69"/>
      <c r="D112" s="70"/>
      <c r="E112" s="282"/>
      <c r="F112" s="283"/>
      <c r="G112" s="284"/>
    </row>
    <row r="113" spans="1:18" x14ac:dyDescent="0.2">
      <c r="A113" s="71" t="s">
        <v>152</v>
      </c>
      <c r="B113" s="75" t="s">
        <v>266</v>
      </c>
      <c r="C113" s="76"/>
      <c r="D113" s="77"/>
      <c r="E113" s="282"/>
      <c r="F113" s="283"/>
      <c r="G113" s="284"/>
    </row>
    <row r="114" spans="1:18" ht="13.5" x14ac:dyDescent="0.2">
      <c r="A114" s="71"/>
      <c r="B114" s="72" t="s">
        <v>373</v>
      </c>
      <c r="C114" s="73" t="s">
        <v>136</v>
      </c>
      <c r="D114" s="74">
        <v>9.8175000000000008</v>
      </c>
      <c r="E114" s="262"/>
      <c r="F114" s="265"/>
      <c r="G114" s="266">
        <f t="shared" ref="G114" si="14">(D114*E114)+(D114*F114)</f>
        <v>0</v>
      </c>
      <c r="I114" s="16">
        <f>3.82*5+4.08*5</f>
        <v>39.5</v>
      </c>
      <c r="J114" s="16">
        <f t="shared" ref="J114" si="15">I114*0.2*0.3</f>
        <v>2.37</v>
      </c>
    </row>
    <row r="115" spans="1:18" ht="13.5" x14ac:dyDescent="0.2">
      <c r="A115" s="71"/>
      <c r="B115" s="72" t="s">
        <v>374</v>
      </c>
      <c r="C115" s="73" t="s">
        <v>136</v>
      </c>
      <c r="D115" s="74">
        <v>2.3650000000000002</v>
      </c>
      <c r="E115" s="262"/>
      <c r="F115" s="265"/>
      <c r="G115" s="266">
        <f t="shared" ref="G115:G119" si="16">(D115*E115)+(D115*F115)</f>
        <v>0</v>
      </c>
      <c r="I115" s="16">
        <f>3*10</f>
        <v>30</v>
      </c>
      <c r="J115" s="16">
        <f>I115*0.2*0.3</f>
        <v>1.7999999999999998</v>
      </c>
    </row>
    <row r="116" spans="1:18" ht="13.5" x14ac:dyDescent="0.2">
      <c r="A116" s="71"/>
      <c r="B116" s="72" t="s">
        <v>375</v>
      </c>
      <c r="C116" s="73" t="s">
        <v>136</v>
      </c>
      <c r="D116" s="74">
        <v>16.975874999999998</v>
      </c>
      <c r="E116" s="262"/>
      <c r="F116" s="265"/>
      <c r="G116" s="266">
        <f t="shared" si="16"/>
        <v>0</v>
      </c>
      <c r="I116" s="16">
        <v>3</v>
      </c>
      <c r="J116" s="16">
        <f>I116*0.2*0.4</f>
        <v>0.24000000000000005</v>
      </c>
    </row>
    <row r="117" spans="1:18" ht="13.5" x14ac:dyDescent="0.2">
      <c r="A117" s="71"/>
      <c r="B117" s="72" t="s">
        <v>376</v>
      </c>
      <c r="C117" s="73" t="s">
        <v>136</v>
      </c>
      <c r="D117" s="74">
        <v>1.9800000000000002</v>
      </c>
      <c r="E117" s="262"/>
      <c r="F117" s="265"/>
      <c r="G117" s="266">
        <f t="shared" ref="G117" si="17">(D117*E117)+(D117*F117)</f>
        <v>0</v>
      </c>
      <c r="I117" s="16">
        <v>3</v>
      </c>
      <c r="J117" s="16">
        <f>I117*0.2*0.4</f>
        <v>0.24000000000000005</v>
      </c>
    </row>
    <row r="118" spans="1:18" x14ac:dyDescent="0.2">
      <c r="A118" s="71" t="s">
        <v>66</v>
      </c>
      <c r="B118" s="75" t="s">
        <v>267</v>
      </c>
      <c r="C118" s="76"/>
      <c r="D118" s="77"/>
      <c r="E118" s="282"/>
      <c r="F118" s="265"/>
      <c r="G118" s="266">
        <f t="shared" si="16"/>
        <v>0</v>
      </c>
    </row>
    <row r="119" spans="1:18" ht="13.5" x14ac:dyDescent="0.2">
      <c r="A119" s="71"/>
      <c r="B119" s="72" t="s">
        <v>268</v>
      </c>
      <c r="C119" s="73" t="s">
        <v>136</v>
      </c>
      <c r="D119" s="74">
        <v>34.799999999999997</v>
      </c>
      <c r="E119" s="262"/>
      <c r="F119" s="265"/>
      <c r="G119" s="266">
        <f t="shared" si="16"/>
        <v>0</v>
      </c>
      <c r="I119" s="16">
        <f>29*8.5</f>
        <v>246.5</v>
      </c>
      <c r="J119" s="16">
        <f>32.2*2.2</f>
        <v>70.840000000000018</v>
      </c>
      <c r="K119" s="16">
        <f>SUM(I119:J119)</f>
        <v>317.34000000000003</v>
      </c>
      <c r="L119" s="16">
        <f>K119*0.15</f>
        <v>47.601000000000006</v>
      </c>
    </row>
    <row r="120" spans="1:18" ht="13.5" x14ac:dyDescent="0.2">
      <c r="A120" s="71"/>
      <c r="B120" s="72" t="s">
        <v>377</v>
      </c>
      <c r="C120" s="73" t="s">
        <v>136</v>
      </c>
      <c r="D120" s="74">
        <v>12.64</v>
      </c>
      <c r="E120" s="262"/>
      <c r="F120" s="265"/>
      <c r="G120" s="266">
        <f t="shared" ref="G120" si="18">(D120*E120)+(D120*F120)</f>
        <v>0</v>
      </c>
      <c r="I120" s="16">
        <f>29*8.5</f>
        <v>246.5</v>
      </c>
      <c r="J120" s="16">
        <f>32.2*2.2</f>
        <v>70.840000000000018</v>
      </c>
      <c r="K120" s="16">
        <f>SUM(I120:J120)</f>
        <v>317.34000000000003</v>
      </c>
      <c r="L120" s="16">
        <f>K120*0.15</f>
        <v>47.601000000000006</v>
      </c>
    </row>
    <row r="121" spans="1:18" x14ac:dyDescent="0.2">
      <c r="A121" s="71" t="s">
        <v>69</v>
      </c>
      <c r="B121" s="75" t="s">
        <v>169</v>
      </c>
      <c r="C121" s="76"/>
      <c r="D121" s="77"/>
      <c r="E121" s="282"/>
      <c r="F121" s="283"/>
      <c r="G121" s="284"/>
    </row>
    <row r="122" spans="1:18" ht="13.5" x14ac:dyDescent="0.2">
      <c r="A122" s="71"/>
      <c r="B122" s="72" t="s">
        <v>370</v>
      </c>
      <c r="C122" s="73" t="s">
        <v>136</v>
      </c>
      <c r="D122" s="74">
        <v>9.4499999999999993</v>
      </c>
      <c r="E122" s="262"/>
      <c r="F122" s="265"/>
      <c r="G122" s="266">
        <f t="shared" ref="G122:G124" si="19">(D122*E122)+(D122*F122)</f>
        <v>0</v>
      </c>
      <c r="I122" s="16">
        <f>0.2*0.2*4.275*35</f>
        <v>5.9850000000000012</v>
      </c>
      <c r="N122" s="16">
        <v>10</v>
      </c>
      <c r="O122" s="16">
        <v>1</v>
      </c>
      <c r="P122" s="16">
        <v>10</v>
      </c>
      <c r="Q122" s="16">
        <f>P122*O122</f>
        <v>10</v>
      </c>
      <c r="R122" s="16">
        <f>Q122*N122</f>
        <v>100</v>
      </c>
    </row>
    <row r="123" spans="1:18" ht="13.5" x14ac:dyDescent="0.2">
      <c r="A123" s="71"/>
      <c r="B123" s="72" t="s">
        <v>371</v>
      </c>
      <c r="C123" s="73" t="s">
        <v>136</v>
      </c>
      <c r="D123" s="74">
        <v>2.1875</v>
      </c>
      <c r="E123" s="262"/>
      <c r="F123" s="265"/>
      <c r="G123" s="266">
        <f t="shared" si="19"/>
        <v>0</v>
      </c>
      <c r="I123" s="16">
        <f>0.4*0.2*4.275*5</f>
        <v>1.7100000000000004</v>
      </c>
      <c r="N123" s="16">
        <v>-10</v>
      </c>
      <c r="O123" s="16">
        <v>1</v>
      </c>
      <c r="P123" s="16">
        <v>30</v>
      </c>
      <c r="Q123" s="16">
        <f>P123*O123</f>
        <v>30</v>
      </c>
      <c r="R123" s="16">
        <f>Q123*N123</f>
        <v>-300</v>
      </c>
    </row>
    <row r="124" spans="1:18" ht="13.5" x14ac:dyDescent="0.2">
      <c r="A124" s="71"/>
      <c r="B124" s="72" t="s">
        <v>372</v>
      </c>
      <c r="C124" s="73" t="s">
        <v>136</v>
      </c>
      <c r="D124" s="74">
        <v>7.875</v>
      </c>
      <c r="E124" s="262"/>
      <c r="F124" s="265"/>
      <c r="G124" s="266">
        <f t="shared" si="19"/>
        <v>0</v>
      </c>
      <c r="I124" s="16">
        <f>0.15*0.15*3.825*6</f>
        <v>0.51637500000000003</v>
      </c>
      <c r="R124" s="16">
        <f>SUM(R122:R123)</f>
        <v>-200</v>
      </c>
    </row>
    <row r="125" spans="1:18" x14ac:dyDescent="0.2">
      <c r="A125" s="368" t="s">
        <v>148</v>
      </c>
      <c r="B125" s="68" t="s">
        <v>250</v>
      </c>
      <c r="C125" s="69"/>
      <c r="D125" s="70"/>
      <c r="E125" s="282"/>
      <c r="F125" s="283"/>
      <c r="G125" s="284"/>
    </row>
    <row r="126" spans="1:18" x14ac:dyDescent="0.2">
      <c r="A126" s="71" t="s">
        <v>100</v>
      </c>
      <c r="B126" s="75" t="s">
        <v>261</v>
      </c>
      <c r="C126" s="76"/>
      <c r="D126" s="77"/>
      <c r="E126" s="282"/>
      <c r="F126" s="283"/>
      <c r="G126" s="284"/>
    </row>
    <row r="127" spans="1:18" ht="13.5" x14ac:dyDescent="0.2">
      <c r="A127" s="71"/>
      <c r="B127" s="72" t="s">
        <v>375</v>
      </c>
      <c r="C127" s="73" t="s">
        <v>136</v>
      </c>
      <c r="D127" s="74">
        <v>16.622375000000002</v>
      </c>
      <c r="E127" s="262"/>
      <c r="F127" s="265"/>
      <c r="G127" s="266">
        <f t="shared" ref="G127:G130" si="20">(D127*E127)+(D127*F127)</f>
        <v>0</v>
      </c>
      <c r="I127" s="16">
        <f>3*10</f>
        <v>30</v>
      </c>
      <c r="J127" s="16">
        <f>I127*0.2*0.3</f>
        <v>1.7999999999999998</v>
      </c>
    </row>
    <row r="128" spans="1:18" ht="13.5" x14ac:dyDescent="0.2">
      <c r="A128" s="71"/>
      <c r="B128" s="72" t="s">
        <v>450</v>
      </c>
      <c r="C128" s="73" t="s">
        <v>136</v>
      </c>
      <c r="D128" s="74">
        <v>1.4202000000000001</v>
      </c>
      <c r="E128" s="262"/>
      <c r="F128" s="265"/>
      <c r="G128" s="266">
        <f t="shared" ref="G128" si="21">(D128*E128)+(D128*F128)</f>
        <v>0</v>
      </c>
      <c r="I128" s="16">
        <f>3*10</f>
        <v>30</v>
      </c>
      <c r="J128" s="16">
        <f>I128*0.2*0.3</f>
        <v>1.7999999999999998</v>
      </c>
    </row>
    <row r="129" spans="1:13" ht="13.5" x14ac:dyDescent="0.2">
      <c r="A129" s="71"/>
      <c r="B129" s="72" t="s">
        <v>376</v>
      </c>
      <c r="C129" s="73" t="s">
        <v>136</v>
      </c>
      <c r="D129" s="74">
        <v>1.575</v>
      </c>
      <c r="E129" s="262"/>
      <c r="F129" s="265"/>
      <c r="G129" s="266">
        <f t="shared" ref="G129" si="22">(D129*E129)+(D129*F129)</f>
        <v>0</v>
      </c>
      <c r="I129" s="16">
        <v>3</v>
      </c>
      <c r="J129" s="16">
        <f>I129*0.2*0.4</f>
        <v>0.24000000000000005</v>
      </c>
    </row>
    <row r="130" spans="1:13" ht="13.5" x14ac:dyDescent="0.2">
      <c r="A130" s="71"/>
      <c r="B130" s="72" t="s">
        <v>450</v>
      </c>
      <c r="C130" s="73" t="s">
        <v>136</v>
      </c>
      <c r="D130" s="74">
        <v>0.54</v>
      </c>
      <c r="E130" s="262"/>
      <c r="F130" s="265"/>
      <c r="G130" s="266">
        <f t="shared" si="20"/>
        <v>0</v>
      </c>
      <c r="I130" s="16">
        <v>3</v>
      </c>
      <c r="J130" s="16">
        <f>I130*0.2*0.4</f>
        <v>0.24000000000000005</v>
      </c>
    </row>
    <row r="131" spans="1:13" x14ac:dyDescent="0.2">
      <c r="A131" s="71"/>
      <c r="B131" s="72"/>
      <c r="C131" s="73"/>
      <c r="D131" s="74"/>
      <c r="E131" s="262"/>
      <c r="F131" s="265"/>
      <c r="G131" s="266"/>
    </row>
    <row r="132" spans="1:13" ht="12.75" thickBot="1" x14ac:dyDescent="0.25">
      <c r="A132" s="71"/>
      <c r="B132" s="72"/>
      <c r="C132" s="73"/>
      <c r="D132" s="74"/>
      <c r="E132" s="262"/>
      <c r="F132" s="265"/>
      <c r="G132" s="266"/>
    </row>
    <row r="133" spans="1:13" x14ac:dyDescent="0.2">
      <c r="A133" s="330"/>
      <c r="B133" s="331"/>
      <c r="C133" s="332"/>
      <c r="D133" s="333"/>
      <c r="E133" s="262"/>
      <c r="F133" s="265"/>
      <c r="G133" s="266"/>
    </row>
    <row r="134" spans="1:13" x14ac:dyDescent="0.2">
      <c r="A134" s="71"/>
      <c r="B134" s="72"/>
      <c r="C134" s="73"/>
      <c r="D134" s="74"/>
      <c r="E134" s="262"/>
      <c r="F134" s="265"/>
      <c r="G134" s="266"/>
    </row>
    <row r="135" spans="1:13" x14ac:dyDescent="0.2">
      <c r="A135" s="367" t="s">
        <v>484</v>
      </c>
      <c r="B135" s="318" t="s">
        <v>12</v>
      </c>
      <c r="C135" s="317"/>
      <c r="D135" s="285"/>
      <c r="E135" s="262"/>
      <c r="F135" s="285"/>
      <c r="G135" s="286"/>
      <c r="M135" s="16" t="e">
        <f>#REF!-#REF!</f>
        <v>#REF!</v>
      </c>
    </row>
    <row r="136" spans="1:13" ht="24" x14ac:dyDescent="0.2">
      <c r="A136" s="56"/>
      <c r="B136" s="78" t="s">
        <v>129</v>
      </c>
      <c r="C136" s="78"/>
      <c r="D136" s="78"/>
      <c r="E136" s="287"/>
      <c r="F136" s="287"/>
      <c r="G136" s="288"/>
    </row>
    <row r="137" spans="1:13" ht="25.5" customHeight="1" x14ac:dyDescent="0.2">
      <c r="A137" s="56"/>
      <c r="B137" s="78" t="s">
        <v>70</v>
      </c>
      <c r="C137" s="78"/>
      <c r="D137" s="78"/>
      <c r="E137" s="287"/>
      <c r="F137" s="287"/>
      <c r="G137" s="288"/>
    </row>
    <row r="138" spans="1:13" ht="48.75" customHeight="1" x14ac:dyDescent="0.2">
      <c r="A138" s="56"/>
      <c r="B138" s="78" t="s">
        <v>71</v>
      </c>
      <c r="C138" s="78"/>
      <c r="D138" s="78"/>
      <c r="E138" s="287"/>
      <c r="F138" s="287"/>
      <c r="G138" s="288"/>
    </row>
    <row r="139" spans="1:13" ht="63.75" customHeight="1" x14ac:dyDescent="0.2">
      <c r="A139" s="56"/>
      <c r="B139" s="102" t="s">
        <v>72</v>
      </c>
      <c r="C139" s="102"/>
      <c r="D139" s="102"/>
      <c r="E139" s="289"/>
      <c r="F139" s="289"/>
      <c r="G139" s="290"/>
    </row>
    <row r="140" spans="1:13" ht="13.5" customHeight="1" x14ac:dyDescent="0.2">
      <c r="A140" s="368" t="s">
        <v>146</v>
      </c>
      <c r="B140" s="68" t="s">
        <v>62</v>
      </c>
      <c r="C140" s="69"/>
      <c r="D140" s="70"/>
      <c r="E140" s="282"/>
      <c r="F140" s="283"/>
      <c r="G140" s="284"/>
    </row>
    <row r="141" spans="1:13" s="17" customFormat="1" ht="15" x14ac:dyDescent="0.25">
      <c r="A141" s="79" t="s">
        <v>7</v>
      </c>
      <c r="B141" s="96" t="s">
        <v>362</v>
      </c>
      <c r="C141" s="103" t="s">
        <v>138</v>
      </c>
      <c r="D141" s="59">
        <v>2.0999999999999996</v>
      </c>
      <c r="E141" s="262"/>
      <c r="F141" s="274"/>
      <c r="G141" s="275">
        <f t="shared" ref="G141:G146" si="23">(D141*E141)+(D141*F141)</f>
        <v>0</v>
      </c>
      <c r="J141" s="45"/>
    </row>
    <row r="142" spans="1:13" s="17" customFormat="1" ht="15" x14ac:dyDescent="0.25">
      <c r="A142" s="79" t="s">
        <v>360</v>
      </c>
      <c r="B142" s="96" t="s">
        <v>363</v>
      </c>
      <c r="C142" s="103" t="s">
        <v>138</v>
      </c>
      <c r="D142" s="59">
        <v>1.68</v>
      </c>
      <c r="E142" s="262"/>
      <c r="F142" s="274"/>
      <c r="G142" s="275">
        <f t="shared" si="23"/>
        <v>0</v>
      </c>
      <c r="J142" s="45"/>
    </row>
    <row r="143" spans="1:13" s="17" customFormat="1" ht="15" x14ac:dyDescent="0.25">
      <c r="A143" s="79" t="s">
        <v>361</v>
      </c>
      <c r="B143" s="96" t="s">
        <v>364</v>
      </c>
      <c r="C143" s="103" t="s">
        <v>138</v>
      </c>
      <c r="D143" s="59">
        <v>0.96</v>
      </c>
      <c r="E143" s="262"/>
      <c r="F143" s="274"/>
      <c r="G143" s="275">
        <f t="shared" si="23"/>
        <v>0</v>
      </c>
      <c r="J143" s="45"/>
    </row>
    <row r="144" spans="1:13" s="17" customFormat="1" ht="15" x14ac:dyDescent="0.25">
      <c r="A144" s="79" t="s">
        <v>365</v>
      </c>
      <c r="B144" s="96" t="s">
        <v>366</v>
      </c>
      <c r="C144" s="103" t="s">
        <v>138</v>
      </c>
      <c r="D144" s="59">
        <v>0.89999999999999991</v>
      </c>
      <c r="E144" s="262"/>
      <c r="F144" s="274"/>
      <c r="G144" s="275">
        <f t="shared" si="23"/>
        <v>0</v>
      </c>
      <c r="J144" s="45"/>
    </row>
    <row r="145" spans="1:18" ht="13.5" x14ac:dyDescent="0.2">
      <c r="A145" s="56"/>
      <c r="B145" s="67" t="s">
        <v>368</v>
      </c>
      <c r="C145" s="103" t="s">
        <v>138</v>
      </c>
      <c r="D145" s="59">
        <v>216.31399999999996</v>
      </c>
      <c r="E145" s="262"/>
      <c r="F145" s="265"/>
      <c r="G145" s="266">
        <f t="shared" si="23"/>
        <v>0</v>
      </c>
      <c r="I145" s="26">
        <f>32.2*4+4.02*2+4.08*2+1.8*2</f>
        <v>148.6</v>
      </c>
      <c r="J145" s="21">
        <f>I145*0.25*0.45</f>
        <v>16.717500000000001</v>
      </c>
      <c r="K145" s="21"/>
      <c r="L145" s="49"/>
      <c r="M145" s="19"/>
      <c r="N145" s="49"/>
    </row>
    <row r="146" spans="1:18" ht="13.5" x14ac:dyDescent="0.2">
      <c r="A146" s="56"/>
      <c r="B146" s="67" t="s">
        <v>369</v>
      </c>
      <c r="C146" s="103" t="s">
        <v>138</v>
      </c>
      <c r="D146" s="59">
        <v>46.008000000000003</v>
      </c>
      <c r="E146" s="262"/>
      <c r="F146" s="265"/>
      <c r="G146" s="266">
        <f t="shared" si="23"/>
        <v>0</v>
      </c>
      <c r="I146" s="26">
        <f>8.3*5</f>
        <v>41.5</v>
      </c>
      <c r="J146" s="21">
        <f>I146*0.25*0.45</f>
        <v>4.6687500000000002</v>
      </c>
      <c r="K146" s="21"/>
      <c r="L146" s="49"/>
      <c r="M146" s="19"/>
      <c r="N146" s="49"/>
    </row>
    <row r="147" spans="1:18" x14ac:dyDescent="0.2">
      <c r="A147" s="368" t="s">
        <v>147</v>
      </c>
      <c r="B147" s="68" t="s">
        <v>65</v>
      </c>
      <c r="C147" s="69"/>
      <c r="D147" s="70"/>
      <c r="E147" s="282"/>
      <c r="F147" s="283"/>
      <c r="G147" s="284"/>
    </row>
    <row r="148" spans="1:18" x14ac:dyDescent="0.2">
      <c r="A148" s="71" t="s">
        <v>151</v>
      </c>
      <c r="B148" s="75" t="s">
        <v>169</v>
      </c>
      <c r="C148" s="76"/>
      <c r="D148" s="77"/>
      <c r="E148" s="282"/>
      <c r="F148" s="283"/>
      <c r="G148" s="284"/>
    </row>
    <row r="149" spans="1:18" ht="13.5" x14ac:dyDescent="0.2">
      <c r="A149" s="71"/>
      <c r="B149" s="72" t="s">
        <v>370</v>
      </c>
      <c r="C149" s="103" t="s">
        <v>138</v>
      </c>
      <c r="D149" s="74">
        <v>134.39999999999998</v>
      </c>
      <c r="E149" s="262"/>
      <c r="F149" s="265"/>
      <c r="G149" s="266">
        <f t="shared" ref="G149:G151" si="24">(D149*E149)+(D149*F149)</f>
        <v>0</v>
      </c>
      <c r="I149" s="16">
        <f>0.2*0.2*4.275*35</f>
        <v>5.9850000000000012</v>
      </c>
      <c r="N149" s="16">
        <v>10</v>
      </c>
      <c r="O149" s="16">
        <v>1</v>
      </c>
      <c r="P149" s="16">
        <v>10</v>
      </c>
      <c r="Q149" s="16">
        <f>P149*O149</f>
        <v>10</v>
      </c>
      <c r="R149" s="16">
        <f>Q149*N149</f>
        <v>100</v>
      </c>
    </row>
    <row r="150" spans="1:18" ht="13.5" x14ac:dyDescent="0.2">
      <c r="A150" s="71"/>
      <c r="B150" s="72" t="s">
        <v>371</v>
      </c>
      <c r="C150" s="103" t="s">
        <v>138</v>
      </c>
      <c r="D150" s="74">
        <v>40</v>
      </c>
      <c r="E150" s="262"/>
      <c r="F150" s="265"/>
      <c r="G150" s="266">
        <f t="shared" si="24"/>
        <v>0</v>
      </c>
      <c r="I150" s="16">
        <f>0.4*0.2*4.275*5</f>
        <v>1.7100000000000004</v>
      </c>
      <c r="N150" s="16">
        <v>-10</v>
      </c>
      <c r="O150" s="16">
        <v>1</v>
      </c>
      <c r="P150" s="16">
        <v>30</v>
      </c>
      <c r="Q150" s="16">
        <f>P150*O150</f>
        <v>30</v>
      </c>
      <c r="R150" s="16">
        <f>Q150*N150</f>
        <v>-300</v>
      </c>
    </row>
    <row r="151" spans="1:18" ht="13.5" x14ac:dyDescent="0.2">
      <c r="A151" s="71"/>
      <c r="B151" s="72" t="s">
        <v>372</v>
      </c>
      <c r="C151" s="103" t="s">
        <v>138</v>
      </c>
      <c r="D151" s="74">
        <v>144</v>
      </c>
      <c r="E151" s="262"/>
      <c r="F151" s="265"/>
      <c r="G151" s="266">
        <f t="shared" si="24"/>
        <v>0</v>
      </c>
      <c r="I151" s="16">
        <f>0.15*0.15*3.825*6</f>
        <v>0.51637500000000003</v>
      </c>
      <c r="R151" s="16">
        <f>SUM(R149:R150)</f>
        <v>-200</v>
      </c>
    </row>
    <row r="152" spans="1:18" x14ac:dyDescent="0.2">
      <c r="A152" s="71" t="s">
        <v>10</v>
      </c>
      <c r="B152" s="75" t="s">
        <v>193</v>
      </c>
      <c r="C152" s="76"/>
      <c r="D152" s="77"/>
      <c r="E152" s="282"/>
      <c r="F152" s="265"/>
      <c r="G152" s="266">
        <f t="shared" ref="G152:G155" si="25">(D152*E152)+(D152*F152)</f>
        <v>0</v>
      </c>
    </row>
    <row r="153" spans="1:18" ht="13.5" x14ac:dyDescent="0.2">
      <c r="A153" s="71"/>
      <c r="B153" s="72" t="s">
        <v>265</v>
      </c>
      <c r="C153" s="103" t="s">
        <v>138</v>
      </c>
      <c r="D153" s="74">
        <v>28.5</v>
      </c>
      <c r="E153" s="262"/>
      <c r="F153" s="265"/>
      <c r="G153" s="266">
        <f t="shared" si="25"/>
        <v>0</v>
      </c>
    </row>
    <row r="154" spans="1:18" s="310" customFormat="1" x14ac:dyDescent="0.2">
      <c r="A154" s="302" t="s">
        <v>15</v>
      </c>
      <c r="B154" s="307" t="s">
        <v>196</v>
      </c>
      <c r="C154" s="308"/>
      <c r="D154" s="309"/>
      <c r="E154" s="282"/>
      <c r="F154" s="265"/>
      <c r="G154" s="266">
        <f t="shared" si="25"/>
        <v>0</v>
      </c>
    </row>
    <row r="155" spans="1:18" s="310" customFormat="1" ht="13.5" x14ac:dyDescent="0.2">
      <c r="A155" s="302"/>
      <c r="B155" s="303" t="s">
        <v>328</v>
      </c>
      <c r="C155" s="311" t="s">
        <v>138</v>
      </c>
      <c r="D155" s="304">
        <v>18.315000000000001</v>
      </c>
      <c r="E155" s="262"/>
      <c r="F155" s="265"/>
      <c r="G155" s="266">
        <f t="shared" si="25"/>
        <v>0</v>
      </c>
      <c r="I155" s="310">
        <f>(32.2+11.075)*2*0.1</f>
        <v>8.6550000000000011</v>
      </c>
      <c r="J155" s="310">
        <f>32.2*0.15*2</f>
        <v>9.66</v>
      </c>
      <c r="K155" s="310">
        <f>SUM(I155:J155)</f>
        <v>18.315000000000001</v>
      </c>
    </row>
    <row r="156" spans="1:18" x14ac:dyDescent="0.2">
      <c r="A156" s="368" t="s">
        <v>55</v>
      </c>
      <c r="B156" s="68" t="s">
        <v>67</v>
      </c>
      <c r="C156" s="69"/>
      <c r="D156" s="70"/>
      <c r="E156" s="282"/>
      <c r="F156" s="283"/>
      <c r="G156" s="284"/>
    </row>
    <row r="157" spans="1:18" x14ac:dyDescent="0.2">
      <c r="A157" s="71" t="s">
        <v>152</v>
      </c>
      <c r="B157" s="75" t="s">
        <v>266</v>
      </c>
      <c r="C157" s="76"/>
      <c r="D157" s="77"/>
      <c r="E157" s="282"/>
      <c r="F157" s="283"/>
      <c r="G157" s="284"/>
    </row>
    <row r="158" spans="1:18" ht="13.5" x14ac:dyDescent="0.2">
      <c r="A158" s="71"/>
      <c r="B158" s="72" t="str">
        <f>B114</f>
        <v>B1</v>
      </c>
      <c r="C158" s="103" t="s">
        <v>138</v>
      </c>
      <c r="D158" s="74">
        <v>74.970000000000013</v>
      </c>
      <c r="E158" s="262"/>
      <c r="F158" s="265"/>
      <c r="G158" s="266">
        <f t="shared" ref="G158:G160" si="26">(D158*E158)+(D158*F158)</f>
        <v>0</v>
      </c>
      <c r="I158" s="16">
        <f>3.82*5+4.08*5</f>
        <v>39.5</v>
      </c>
      <c r="J158" s="16">
        <f t="shared" ref="J158" si="27">I158*0.2*0.3</f>
        <v>2.37</v>
      </c>
    </row>
    <row r="159" spans="1:18" ht="13.5" x14ac:dyDescent="0.2">
      <c r="A159" s="71"/>
      <c r="B159" s="72" t="str">
        <f t="shared" ref="B159:B161" si="28">B115</f>
        <v>B2</v>
      </c>
      <c r="C159" s="103" t="s">
        <v>138</v>
      </c>
      <c r="D159" s="74">
        <v>18.059999999999999</v>
      </c>
      <c r="E159" s="262"/>
      <c r="F159" s="265"/>
      <c r="G159" s="266">
        <f t="shared" si="26"/>
        <v>0</v>
      </c>
      <c r="I159" s="16">
        <f>3*10</f>
        <v>30</v>
      </c>
      <c r="J159" s="16">
        <f>I159*0.2*0.3</f>
        <v>1.7999999999999998</v>
      </c>
    </row>
    <row r="160" spans="1:18" ht="13.5" x14ac:dyDescent="0.2">
      <c r="A160" s="71"/>
      <c r="B160" s="72" t="str">
        <f t="shared" si="28"/>
        <v>B3</v>
      </c>
      <c r="C160" s="103" t="s">
        <v>138</v>
      </c>
      <c r="D160" s="74">
        <v>164.90849999999998</v>
      </c>
      <c r="E160" s="262"/>
      <c r="F160" s="265"/>
      <c r="G160" s="266">
        <f t="shared" si="26"/>
        <v>0</v>
      </c>
      <c r="I160" s="16">
        <v>3</v>
      </c>
      <c r="J160" s="16">
        <f>I160*0.2*0.4</f>
        <v>0.24000000000000005</v>
      </c>
    </row>
    <row r="161" spans="1:18" ht="13.5" x14ac:dyDescent="0.2">
      <c r="A161" s="71"/>
      <c r="B161" s="72" t="str">
        <f t="shared" si="28"/>
        <v>B4</v>
      </c>
      <c r="C161" s="103" t="s">
        <v>138</v>
      </c>
      <c r="D161" s="74">
        <v>17.82</v>
      </c>
      <c r="E161" s="262"/>
      <c r="F161" s="265"/>
      <c r="G161" s="266">
        <f t="shared" ref="G161" si="29">(D161*E161)+(D161*F161)</f>
        <v>0</v>
      </c>
      <c r="I161" s="16">
        <v>3</v>
      </c>
      <c r="J161" s="16">
        <f>I161*0.2*0.4</f>
        <v>0.24000000000000005</v>
      </c>
    </row>
    <row r="162" spans="1:18" x14ac:dyDescent="0.2">
      <c r="A162" s="71" t="s">
        <v>66</v>
      </c>
      <c r="B162" s="75" t="s">
        <v>267</v>
      </c>
      <c r="C162" s="76"/>
      <c r="D162" s="77"/>
      <c r="E162" s="282"/>
      <c r="F162" s="265"/>
      <c r="G162" s="266">
        <f t="shared" ref="G162:G164" si="30">(D162*E162)+(D162*F162)</f>
        <v>0</v>
      </c>
    </row>
    <row r="163" spans="1:18" ht="13.5" x14ac:dyDescent="0.2">
      <c r="A163" s="71"/>
      <c r="B163" s="72" t="s">
        <v>268</v>
      </c>
      <c r="C163" s="103" t="s">
        <v>138</v>
      </c>
      <c r="D163" s="74">
        <v>232</v>
      </c>
      <c r="E163" s="262"/>
      <c r="F163" s="265"/>
      <c r="G163" s="266">
        <f t="shared" si="30"/>
        <v>0</v>
      </c>
      <c r="I163" s="16">
        <f>29*8.5</f>
        <v>246.5</v>
      </c>
      <c r="J163" s="16">
        <f>32.2*2.2</f>
        <v>70.840000000000018</v>
      </c>
      <c r="K163" s="16">
        <f>SUM(I163:J163)</f>
        <v>317.34000000000003</v>
      </c>
      <c r="L163" s="16">
        <f>K163*0.15</f>
        <v>47.601000000000006</v>
      </c>
    </row>
    <row r="164" spans="1:18" ht="13.5" x14ac:dyDescent="0.2">
      <c r="A164" s="71"/>
      <c r="B164" s="72" t="s">
        <v>377</v>
      </c>
      <c r="C164" s="103" t="s">
        <v>138</v>
      </c>
      <c r="D164" s="74">
        <v>79</v>
      </c>
      <c r="E164" s="262"/>
      <c r="F164" s="265"/>
      <c r="G164" s="266">
        <f t="shared" si="30"/>
        <v>0</v>
      </c>
      <c r="I164" s="16">
        <f>29*8.5</f>
        <v>246.5</v>
      </c>
      <c r="J164" s="16">
        <f>32.2*2.2</f>
        <v>70.840000000000018</v>
      </c>
      <c r="K164" s="16">
        <f>SUM(I164:J164)</f>
        <v>317.34000000000003</v>
      </c>
      <c r="L164" s="16">
        <f>K164*0.15</f>
        <v>47.601000000000006</v>
      </c>
    </row>
    <row r="165" spans="1:18" x14ac:dyDescent="0.2">
      <c r="A165" s="71" t="s">
        <v>69</v>
      </c>
      <c r="B165" s="75" t="s">
        <v>169</v>
      </c>
      <c r="C165" s="76"/>
      <c r="D165" s="77"/>
      <c r="E165" s="282"/>
      <c r="F165" s="283"/>
      <c r="G165" s="284"/>
    </row>
    <row r="166" spans="1:18" ht="13.5" x14ac:dyDescent="0.2">
      <c r="A166" s="71"/>
      <c r="B166" s="72" t="s">
        <v>370</v>
      </c>
      <c r="C166" s="103" t="s">
        <v>138</v>
      </c>
      <c r="D166" s="74">
        <v>117.6</v>
      </c>
      <c r="E166" s="262"/>
      <c r="F166" s="265"/>
      <c r="G166" s="266">
        <f t="shared" ref="G166:G168" si="31">(D166*E166)+(D166*F166)</f>
        <v>0</v>
      </c>
      <c r="I166" s="16">
        <f>0.2*0.2*4.275*35</f>
        <v>5.9850000000000012</v>
      </c>
      <c r="N166" s="16">
        <v>10</v>
      </c>
      <c r="O166" s="16">
        <v>1</v>
      </c>
      <c r="P166" s="16">
        <v>10</v>
      </c>
      <c r="Q166" s="16">
        <f>P166*O166</f>
        <v>10</v>
      </c>
      <c r="R166" s="16">
        <f>Q166*N166</f>
        <v>100</v>
      </c>
    </row>
    <row r="167" spans="1:18" ht="13.5" x14ac:dyDescent="0.2">
      <c r="A167" s="71"/>
      <c r="B167" s="72" t="s">
        <v>371</v>
      </c>
      <c r="C167" s="103" t="s">
        <v>138</v>
      </c>
      <c r="D167" s="74">
        <v>35</v>
      </c>
      <c r="E167" s="262"/>
      <c r="F167" s="265"/>
      <c r="G167" s="266">
        <f t="shared" si="31"/>
        <v>0</v>
      </c>
      <c r="I167" s="16">
        <f>0.4*0.2*4.275*5</f>
        <v>1.7100000000000004</v>
      </c>
      <c r="N167" s="16">
        <v>-10</v>
      </c>
      <c r="O167" s="16">
        <v>1</v>
      </c>
      <c r="P167" s="16">
        <v>30</v>
      </c>
      <c r="Q167" s="16">
        <f>P167*O167</f>
        <v>30</v>
      </c>
      <c r="R167" s="16">
        <f>Q167*N167</f>
        <v>-300</v>
      </c>
    </row>
    <row r="168" spans="1:18" ht="13.5" x14ac:dyDescent="0.2">
      <c r="A168" s="71"/>
      <c r="B168" s="72" t="s">
        <v>372</v>
      </c>
      <c r="C168" s="103" t="s">
        <v>138</v>
      </c>
      <c r="D168" s="74">
        <v>126</v>
      </c>
      <c r="E168" s="262"/>
      <c r="F168" s="265"/>
      <c r="G168" s="266">
        <f t="shared" si="31"/>
        <v>0</v>
      </c>
      <c r="I168" s="16">
        <f>0.15*0.15*3.825*6</f>
        <v>0.51637500000000003</v>
      </c>
      <c r="R168" s="16">
        <f>SUM(R166:R167)</f>
        <v>-200</v>
      </c>
    </row>
    <row r="169" spans="1:18" x14ac:dyDescent="0.2">
      <c r="A169" s="368" t="s">
        <v>148</v>
      </c>
      <c r="B169" s="68" t="s">
        <v>250</v>
      </c>
      <c r="C169" s="69"/>
      <c r="D169" s="70"/>
      <c r="E169" s="282"/>
      <c r="F169" s="283"/>
      <c r="G169" s="284"/>
    </row>
    <row r="170" spans="1:18" x14ac:dyDescent="0.2">
      <c r="A170" s="71" t="s">
        <v>100</v>
      </c>
      <c r="B170" s="75" t="s">
        <v>261</v>
      </c>
      <c r="C170" s="76"/>
      <c r="D170" s="77"/>
      <c r="E170" s="282"/>
      <c r="F170" s="283"/>
      <c r="G170" s="284"/>
    </row>
    <row r="171" spans="1:18" ht="13.5" x14ac:dyDescent="0.2">
      <c r="A171" s="71"/>
      <c r="B171" s="72" t="s">
        <v>375</v>
      </c>
      <c r="C171" s="103" t="s">
        <v>138</v>
      </c>
      <c r="D171" s="74">
        <v>126.9345</v>
      </c>
      <c r="E171" s="262"/>
      <c r="F171" s="265"/>
      <c r="G171" s="266">
        <f t="shared" ref="G171:G174" si="32">(D171*E171)+(D171*F171)</f>
        <v>0</v>
      </c>
      <c r="I171" s="16">
        <f>3*10</f>
        <v>30</v>
      </c>
      <c r="J171" s="16">
        <f>I171*0.2*0.3</f>
        <v>1.7999999999999998</v>
      </c>
    </row>
    <row r="172" spans="1:18" ht="13.5" x14ac:dyDescent="0.2">
      <c r="A172" s="71"/>
      <c r="B172" s="72" t="s">
        <v>379</v>
      </c>
      <c r="C172" s="103" t="s">
        <v>138</v>
      </c>
      <c r="D172" s="74">
        <v>18.936</v>
      </c>
      <c r="E172" s="262"/>
      <c r="F172" s="265"/>
      <c r="G172" s="266">
        <f t="shared" si="32"/>
        <v>0</v>
      </c>
      <c r="I172" s="16">
        <f>3*10</f>
        <v>30</v>
      </c>
      <c r="J172" s="16">
        <f>I172*0.2*0.3</f>
        <v>1.7999999999999998</v>
      </c>
    </row>
    <row r="173" spans="1:18" ht="13.5" x14ac:dyDescent="0.2">
      <c r="A173" s="71"/>
      <c r="B173" s="72" t="s">
        <v>376</v>
      </c>
      <c r="C173" s="103" t="s">
        <v>138</v>
      </c>
      <c r="D173" s="74">
        <v>15.299999999999999</v>
      </c>
      <c r="E173" s="262"/>
      <c r="F173" s="265"/>
      <c r="G173" s="266">
        <f t="shared" si="32"/>
        <v>0</v>
      </c>
      <c r="I173" s="16">
        <v>3</v>
      </c>
      <c r="J173" s="16">
        <f>I173*0.2*0.4</f>
        <v>0.24000000000000005</v>
      </c>
    </row>
    <row r="174" spans="1:18" ht="13.5" x14ac:dyDescent="0.2">
      <c r="A174" s="71"/>
      <c r="B174" s="72" t="s">
        <v>380</v>
      </c>
      <c r="C174" s="103" t="s">
        <v>138</v>
      </c>
      <c r="D174" s="74">
        <v>7.1999999999999993</v>
      </c>
      <c r="E174" s="262"/>
      <c r="F174" s="265"/>
      <c r="G174" s="266">
        <f t="shared" si="32"/>
        <v>0</v>
      </c>
      <c r="I174" s="16">
        <v>3</v>
      </c>
      <c r="J174" s="16">
        <f>I174*0.2*0.4</f>
        <v>0.24000000000000005</v>
      </c>
    </row>
    <row r="175" spans="1:18" x14ac:dyDescent="0.2">
      <c r="A175" s="71"/>
      <c r="B175" s="72"/>
      <c r="C175" s="103"/>
      <c r="D175" s="74"/>
      <c r="E175" s="262"/>
      <c r="F175" s="265"/>
      <c r="G175" s="266"/>
    </row>
    <row r="176" spans="1:18" x14ac:dyDescent="0.2">
      <c r="A176" s="71"/>
      <c r="B176" s="72"/>
      <c r="C176" s="103"/>
      <c r="D176" s="74"/>
      <c r="E176" s="262"/>
      <c r="F176" s="265"/>
      <c r="G176" s="266"/>
    </row>
    <row r="177" spans="1:11" x14ac:dyDescent="0.2">
      <c r="A177" s="71"/>
      <c r="B177" s="72"/>
      <c r="C177" s="103"/>
      <c r="D177" s="74"/>
      <c r="E177" s="262"/>
      <c r="F177" s="265"/>
      <c r="G177" s="266"/>
    </row>
    <row r="178" spans="1:11" ht="12.75" thickBot="1" x14ac:dyDescent="0.25">
      <c r="A178" s="229"/>
      <c r="B178" s="230"/>
      <c r="C178" s="232"/>
      <c r="D178" s="231"/>
      <c r="E178" s="262"/>
      <c r="F178" s="265"/>
      <c r="G178" s="266"/>
    </row>
    <row r="179" spans="1:11" x14ac:dyDescent="0.2">
      <c r="A179" s="115"/>
      <c r="B179" s="201"/>
      <c r="C179" s="202"/>
      <c r="D179" s="200"/>
      <c r="E179" s="262"/>
      <c r="F179" s="265"/>
      <c r="G179" s="266"/>
    </row>
    <row r="180" spans="1:11" s="310" customFormat="1" x14ac:dyDescent="0.2">
      <c r="A180" s="367" t="s">
        <v>485</v>
      </c>
      <c r="B180" s="318" t="s">
        <v>11</v>
      </c>
      <c r="C180" s="317"/>
      <c r="D180" s="285"/>
      <c r="E180" s="262"/>
      <c r="F180" s="285"/>
      <c r="G180" s="286"/>
    </row>
    <row r="181" spans="1:11" ht="48" x14ac:dyDescent="0.2">
      <c r="A181" s="79"/>
      <c r="B181" s="102" t="s">
        <v>98</v>
      </c>
      <c r="C181" s="102"/>
      <c r="D181" s="102"/>
      <c r="E181" s="289"/>
      <c r="F181" s="289"/>
      <c r="G181" s="290"/>
    </row>
    <row r="182" spans="1:11" ht="36" x14ac:dyDescent="0.2">
      <c r="A182" s="63"/>
      <c r="B182" s="102" t="s">
        <v>99</v>
      </c>
      <c r="C182" s="102"/>
      <c r="D182" s="102"/>
      <c r="E182" s="289"/>
      <c r="F182" s="289"/>
      <c r="G182" s="290"/>
    </row>
    <row r="183" spans="1:11" ht="48" x14ac:dyDescent="0.2">
      <c r="A183" s="79"/>
      <c r="B183" s="102" t="s">
        <v>262</v>
      </c>
      <c r="C183" s="102"/>
      <c r="D183" s="102"/>
      <c r="E183" s="289"/>
      <c r="F183" s="289"/>
      <c r="G183" s="290"/>
    </row>
    <row r="184" spans="1:11" x14ac:dyDescent="0.2">
      <c r="A184" s="368" t="s">
        <v>146</v>
      </c>
      <c r="B184" s="68" t="s">
        <v>219</v>
      </c>
      <c r="C184" s="104"/>
      <c r="D184" s="105"/>
      <c r="E184" s="272"/>
      <c r="F184" s="265"/>
      <c r="G184" s="266"/>
    </row>
    <row r="185" spans="1:11" s="43" customFormat="1" x14ac:dyDescent="0.2">
      <c r="A185" s="369" t="s">
        <v>162</v>
      </c>
      <c r="B185" s="68" t="s">
        <v>62</v>
      </c>
      <c r="C185" s="104"/>
      <c r="D185" s="305"/>
      <c r="E185" s="306"/>
      <c r="F185" s="274"/>
      <c r="G185" s="275"/>
    </row>
    <row r="186" spans="1:11" s="17" customFormat="1" ht="15" x14ac:dyDescent="0.25">
      <c r="A186" s="79" t="s">
        <v>7</v>
      </c>
      <c r="B186" s="96" t="s">
        <v>362</v>
      </c>
      <c r="C186" s="73"/>
      <c r="D186" s="59"/>
      <c r="E186" s="262"/>
      <c r="F186" s="274"/>
      <c r="G186" s="275">
        <f t="shared" ref="G186:G199" si="33">(D186*E186)+(D186*F186)</f>
        <v>0</v>
      </c>
      <c r="J186" s="45"/>
    </row>
    <row r="187" spans="1:11" x14ac:dyDescent="0.2">
      <c r="A187" s="71"/>
      <c r="B187" s="72" t="s">
        <v>221</v>
      </c>
      <c r="C187" s="73" t="s">
        <v>9</v>
      </c>
      <c r="D187" s="59">
        <v>288.36</v>
      </c>
      <c r="E187" s="272"/>
      <c r="F187" s="265"/>
      <c r="G187" s="266">
        <f t="shared" si="33"/>
        <v>0</v>
      </c>
      <c r="I187" s="26">
        <f>D187*0.888*6</f>
        <v>1536.3820800000003</v>
      </c>
      <c r="J187" s="16">
        <f>12+26+31+10+3+12+35+12</f>
        <v>141</v>
      </c>
      <c r="K187" s="26"/>
    </row>
    <row r="188" spans="1:11" s="17" customFormat="1" ht="15" x14ac:dyDescent="0.25">
      <c r="A188" s="79" t="s">
        <v>360</v>
      </c>
      <c r="B188" s="96" t="s">
        <v>363</v>
      </c>
      <c r="C188" s="73"/>
      <c r="D188" s="59"/>
      <c r="E188" s="262"/>
      <c r="F188" s="274"/>
      <c r="G188" s="275">
        <f t="shared" si="33"/>
        <v>0</v>
      </c>
      <c r="J188" s="45"/>
    </row>
    <row r="189" spans="1:11" x14ac:dyDescent="0.2">
      <c r="A189" s="71"/>
      <c r="B189" s="72" t="s">
        <v>221</v>
      </c>
      <c r="C189" s="73" t="s">
        <v>9</v>
      </c>
      <c r="D189" s="59">
        <v>118.112256</v>
      </c>
      <c r="E189" s="272"/>
      <c r="F189" s="265"/>
      <c r="G189" s="266">
        <f t="shared" ref="G189" si="34">(D189*E189)+(D189*F189)</f>
        <v>0</v>
      </c>
      <c r="I189" s="26">
        <f>D189*0.888*6</f>
        <v>629.30209996799999</v>
      </c>
      <c r="J189" s="16">
        <f>12+26+31+10+3+12+35+12</f>
        <v>141</v>
      </c>
      <c r="K189" s="26"/>
    </row>
    <row r="190" spans="1:11" s="17" customFormat="1" ht="15" x14ac:dyDescent="0.25">
      <c r="A190" s="79" t="s">
        <v>361</v>
      </c>
      <c r="B190" s="96" t="s">
        <v>364</v>
      </c>
      <c r="C190" s="73"/>
      <c r="D190" s="59"/>
      <c r="E190" s="262"/>
      <c r="F190" s="274"/>
      <c r="G190" s="275">
        <f t="shared" si="33"/>
        <v>0</v>
      </c>
      <c r="J190" s="45"/>
    </row>
    <row r="191" spans="1:11" x14ac:dyDescent="0.2">
      <c r="A191" s="71"/>
      <c r="B191" s="72" t="s">
        <v>221</v>
      </c>
      <c r="C191" s="73" t="s">
        <v>9</v>
      </c>
      <c r="D191" s="59">
        <v>16.201955555555561</v>
      </c>
      <c r="E191" s="272"/>
      <c r="F191" s="265"/>
      <c r="G191" s="266">
        <f t="shared" si="33"/>
        <v>0</v>
      </c>
      <c r="I191" s="26">
        <f>D191*0.888*6</f>
        <v>86.324019200000023</v>
      </c>
      <c r="J191" s="16">
        <f>12+26+31+10+3+12+35+12</f>
        <v>141</v>
      </c>
      <c r="K191" s="26"/>
    </row>
    <row r="192" spans="1:11" s="17" customFormat="1" ht="15" x14ac:dyDescent="0.25">
      <c r="A192" s="79" t="s">
        <v>365</v>
      </c>
      <c r="B192" s="96" t="s">
        <v>366</v>
      </c>
      <c r="C192" s="73"/>
      <c r="D192" s="59"/>
      <c r="E192" s="262"/>
      <c r="F192" s="274"/>
      <c r="G192" s="275">
        <f t="shared" si="33"/>
        <v>0</v>
      </c>
      <c r="J192" s="45"/>
    </row>
    <row r="193" spans="1:18" x14ac:dyDescent="0.2">
      <c r="A193" s="71"/>
      <c r="B193" s="72" t="s">
        <v>222</v>
      </c>
      <c r="C193" s="73" t="s">
        <v>9</v>
      </c>
      <c r="D193" s="59">
        <v>8.71875</v>
      </c>
      <c r="E193" s="272"/>
      <c r="F193" s="265"/>
      <c r="G193" s="266">
        <f t="shared" ref="G193" si="35">(D193*E193)+(D193*F193)</f>
        <v>0</v>
      </c>
      <c r="I193" s="26">
        <f>D193*0.888*6</f>
        <v>46.453500000000005</v>
      </c>
      <c r="J193" s="16">
        <f>12+26+31+10+3+12+35+12</f>
        <v>141</v>
      </c>
      <c r="K193" s="26"/>
    </row>
    <row r="194" spans="1:18" x14ac:dyDescent="0.2">
      <c r="A194" s="79" t="s">
        <v>381</v>
      </c>
      <c r="B194" s="67" t="s">
        <v>368</v>
      </c>
      <c r="C194" s="73"/>
      <c r="D194" s="59"/>
      <c r="E194" s="262"/>
      <c r="F194" s="265"/>
      <c r="G194" s="266">
        <f t="shared" si="33"/>
        <v>0</v>
      </c>
      <c r="I194" s="26">
        <f>32.2*4+4.02*2+4.08*2+1.8*2</f>
        <v>148.6</v>
      </c>
      <c r="J194" s="21">
        <f>I194*0.25*0.45</f>
        <v>16.717500000000001</v>
      </c>
      <c r="K194" s="21"/>
      <c r="L194" s="49"/>
      <c r="M194" s="19"/>
      <c r="N194" s="49"/>
    </row>
    <row r="195" spans="1:18" x14ac:dyDescent="0.2">
      <c r="A195" s="71"/>
      <c r="B195" s="72" t="s">
        <v>220</v>
      </c>
      <c r="C195" s="73" t="s">
        <v>9</v>
      </c>
      <c r="D195" s="59">
        <v>1953.0064</v>
      </c>
      <c r="E195" s="272"/>
      <c r="F195" s="265"/>
      <c r="G195" s="266">
        <f t="shared" ref="G195" si="36">(D195*E195)+(D195*F195)</f>
        <v>0</v>
      </c>
      <c r="I195" s="26">
        <f>D195*0.888*6</f>
        <v>10405.618099199999</v>
      </c>
      <c r="J195" s="16">
        <f>12+26+31+10+3+12+35+12</f>
        <v>141</v>
      </c>
      <c r="K195" s="26"/>
    </row>
    <row r="196" spans="1:18" x14ac:dyDescent="0.2">
      <c r="A196" s="71"/>
      <c r="B196" s="72" t="s">
        <v>383</v>
      </c>
      <c r="C196" s="73" t="s">
        <v>9</v>
      </c>
      <c r="D196" s="59">
        <v>823.22928000000002</v>
      </c>
      <c r="E196" s="272"/>
      <c r="F196" s="265"/>
      <c r="G196" s="266">
        <f t="shared" ref="G196" si="37">(D196*E196)+(D196*F196)</f>
        <v>0</v>
      </c>
      <c r="I196" s="26">
        <f>D196*0.888*6</f>
        <v>4386.1656038400006</v>
      </c>
      <c r="J196" s="16">
        <f>12+26+31+10+3+12+35+12</f>
        <v>141</v>
      </c>
      <c r="K196" s="26"/>
    </row>
    <row r="197" spans="1:18" x14ac:dyDescent="0.2">
      <c r="A197" s="79" t="s">
        <v>382</v>
      </c>
      <c r="B197" s="67" t="s">
        <v>369</v>
      </c>
      <c r="C197" s="73"/>
      <c r="D197" s="59"/>
      <c r="E197" s="262"/>
      <c r="F197" s="265"/>
      <c r="G197" s="266">
        <f t="shared" si="33"/>
        <v>0</v>
      </c>
      <c r="I197" s="26">
        <f>8.3*5</f>
        <v>41.5</v>
      </c>
      <c r="J197" s="21">
        <f>I197*0.25*0.45</f>
        <v>4.6687500000000002</v>
      </c>
      <c r="K197" s="21"/>
      <c r="L197" s="49"/>
      <c r="M197" s="19"/>
      <c r="N197" s="49"/>
    </row>
    <row r="198" spans="1:18" x14ac:dyDescent="0.2">
      <c r="A198" s="71"/>
      <c r="B198" s="72" t="s">
        <v>221</v>
      </c>
      <c r="C198" s="73" t="s">
        <v>9</v>
      </c>
      <c r="D198" s="59">
        <v>545.96160000000009</v>
      </c>
      <c r="E198" s="272"/>
      <c r="F198" s="265"/>
      <c r="G198" s="266">
        <f t="shared" si="33"/>
        <v>0</v>
      </c>
      <c r="I198" s="26">
        <f>D198*0.888*6</f>
        <v>2908.8834048000008</v>
      </c>
      <c r="J198" s="16">
        <f>12+26+31+10+3+12+35+12</f>
        <v>141</v>
      </c>
      <c r="K198" s="26"/>
    </row>
    <row r="199" spans="1:18" x14ac:dyDescent="0.2">
      <c r="A199" s="71"/>
      <c r="B199" s="72" t="s">
        <v>383</v>
      </c>
      <c r="C199" s="73" t="s">
        <v>9</v>
      </c>
      <c r="D199" s="59">
        <v>181.57824000000002</v>
      </c>
      <c r="E199" s="272"/>
      <c r="F199" s="265"/>
      <c r="G199" s="266">
        <f t="shared" si="33"/>
        <v>0</v>
      </c>
      <c r="I199" s="26">
        <f>D199*0.888*6</f>
        <v>967.44886272000008</v>
      </c>
      <c r="J199" s="16">
        <f>12+26+31+10+3+12+35+12</f>
        <v>141</v>
      </c>
      <c r="K199" s="26"/>
    </row>
    <row r="200" spans="1:18" x14ac:dyDescent="0.2">
      <c r="A200" s="368" t="s">
        <v>147</v>
      </c>
      <c r="B200" s="68" t="s">
        <v>65</v>
      </c>
      <c r="C200" s="104"/>
      <c r="D200" s="105"/>
      <c r="E200" s="272"/>
      <c r="F200" s="265"/>
      <c r="G200" s="266">
        <f t="shared" ref="G200" si="38">(D200*E200)+(D200*F200)</f>
        <v>0</v>
      </c>
    </row>
    <row r="201" spans="1:18" x14ac:dyDescent="0.2">
      <c r="A201" s="109" t="s">
        <v>162</v>
      </c>
      <c r="B201" s="106" t="s">
        <v>169</v>
      </c>
      <c r="C201" s="107"/>
      <c r="D201" s="108"/>
      <c r="E201" s="282"/>
      <c r="F201" s="265"/>
      <c r="G201" s="266"/>
    </row>
    <row r="202" spans="1:18" x14ac:dyDescent="0.2">
      <c r="A202" s="79" t="s">
        <v>7</v>
      </c>
      <c r="B202" s="72" t="s">
        <v>370</v>
      </c>
      <c r="C202" s="103"/>
      <c r="D202" s="74"/>
      <c r="E202" s="262"/>
      <c r="F202" s="265"/>
      <c r="G202" s="266">
        <f t="shared" ref="G202:G210" si="39">(D202*E202)+(D202*F202)</f>
        <v>0</v>
      </c>
      <c r="I202" s="16">
        <f>0.2*0.2*4.275*35</f>
        <v>5.9850000000000012</v>
      </c>
      <c r="N202" s="16">
        <v>10</v>
      </c>
      <c r="O202" s="16">
        <v>1</v>
      </c>
      <c r="P202" s="16">
        <v>10</v>
      </c>
      <c r="Q202" s="16">
        <f>P202*O202</f>
        <v>10</v>
      </c>
      <c r="R202" s="16">
        <f>Q202*N202</f>
        <v>100</v>
      </c>
    </row>
    <row r="203" spans="1:18" x14ac:dyDescent="0.2">
      <c r="A203" s="71"/>
      <c r="B203" s="72" t="s">
        <v>270</v>
      </c>
      <c r="C203" s="73" t="s">
        <v>9</v>
      </c>
      <c r="D203" s="59">
        <v>1896.96</v>
      </c>
      <c r="E203" s="272"/>
      <c r="F203" s="265"/>
      <c r="G203" s="266">
        <f t="shared" si="39"/>
        <v>0</v>
      </c>
      <c r="I203" s="26">
        <f>D203*0.888*6</f>
        <v>10107.00288</v>
      </c>
      <c r="J203" s="16">
        <f>12+26+31+10+3+12+35+12</f>
        <v>141</v>
      </c>
      <c r="K203" s="26"/>
    </row>
    <row r="204" spans="1:18" x14ac:dyDescent="0.2">
      <c r="A204" s="71"/>
      <c r="B204" s="72" t="s">
        <v>383</v>
      </c>
      <c r="C204" s="73" t="s">
        <v>9</v>
      </c>
      <c r="D204" s="59">
        <v>397.82400000000001</v>
      </c>
      <c r="E204" s="272"/>
      <c r="F204" s="265"/>
      <c r="G204" s="266">
        <f t="shared" si="39"/>
        <v>0</v>
      </c>
      <c r="I204" s="26">
        <f>D204*0.888*6</f>
        <v>2119.606272</v>
      </c>
      <c r="J204" s="16">
        <f>12+26+31+10+3+12+35+12</f>
        <v>141</v>
      </c>
      <c r="K204" s="26"/>
    </row>
    <row r="205" spans="1:18" x14ac:dyDescent="0.2">
      <c r="A205" s="79" t="s">
        <v>360</v>
      </c>
      <c r="B205" s="72" t="s">
        <v>371</v>
      </c>
      <c r="C205" s="103"/>
      <c r="D205" s="74"/>
      <c r="E205" s="262"/>
      <c r="F205" s="265"/>
      <c r="G205" s="266">
        <f t="shared" si="39"/>
        <v>0</v>
      </c>
      <c r="I205" s="16">
        <f>0.4*0.2*4.275*5</f>
        <v>1.7100000000000004</v>
      </c>
      <c r="N205" s="16">
        <v>-10</v>
      </c>
      <c r="O205" s="16">
        <v>1</v>
      </c>
      <c r="P205" s="16">
        <v>30</v>
      </c>
      <c r="Q205" s="16">
        <f>P205*O205</f>
        <v>30</v>
      </c>
      <c r="R205" s="16">
        <f>Q205*N205</f>
        <v>-300</v>
      </c>
    </row>
    <row r="206" spans="1:18" x14ac:dyDescent="0.2">
      <c r="A206" s="71"/>
      <c r="B206" s="72" t="s">
        <v>220</v>
      </c>
      <c r="C206" s="73" t="s">
        <v>9</v>
      </c>
      <c r="D206" s="59">
        <v>505.6</v>
      </c>
      <c r="E206" s="272"/>
      <c r="F206" s="265"/>
      <c r="G206" s="266">
        <f t="shared" ref="G206:G207" si="40">(D206*E206)+(D206*F206)</f>
        <v>0</v>
      </c>
      <c r="I206" s="26">
        <f>D206*0.888*6</f>
        <v>2693.8368</v>
      </c>
      <c r="J206" s="16">
        <f>12+26+31+10+3+12+35+12</f>
        <v>141</v>
      </c>
      <c r="K206" s="26"/>
    </row>
    <row r="207" spans="1:18" x14ac:dyDescent="0.2">
      <c r="A207" s="71"/>
      <c r="B207" s="72" t="s">
        <v>383</v>
      </c>
      <c r="C207" s="73" t="s">
        <v>9</v>
      </c>
      <c r="D207" s="59">
        <v>118.4</v>
      </c>
      <c r="E207" s="272"/>
      <c r="F207" s="265"/>
      <c r="G207" s="266">
        <f t="shared" si="40"/>
        <v>0</v>
      </c>
      <c r="I207" s="26">
        <f>D207*0.888*6</f>
        <v>630.83519999999999</v>
      </c>
      <c r="J207" s="16">
        <f>12+26+31+10+3+12+35+12</f>
        <v>141</v>
      </c>
      <c r="K207" s="26"/>
    </row>
    <row r="208" spans="1:18" x14ac:dyDescent="0.2">
      <c r="A208" s="79" t="s">
        <v>361</v>
      </c>
      <c r="B208" s="72" t="s">
        <v>372</v>
      </c>
      <c r="C208" s="103"/>
      <c r="D208" s="74"/>
      <c r="E208" s="262"/>
      <c r="F208" s="265"/>
      <c r="G208" s="266">
        <f t="shared" si="39"/>
        <v>0</v>
      </c>
      <c r="I208" s="16">
        <f>0.15*0.15*3.825*6</f>
        <v>0.51637500000000003</v>
      </c>
      <c r="R208" s="16">
        <f>SUM(R202:R205)</f>
        <v>-200</v>
      </c>
    </row>
    <row r="209" spans="1:13" x14ac:dyDescent="0.2">
      <c r="A209" s="71"/>
      <c r="B209" s="72" t="s">
        <v>221</v>
      </c>
      <c r="C209" s="73" t="s">
        <v>9</v>
      </c>
      <c r="D209" s="59">
        <v>1025.28</v>
      </c>
      <c r="E209" s="272"/>
      <c r="F209" s="265"/>
      <c r="G209" s="266">
        <f t="shared" si="39"/>
        <v>0</v>
      </c>
      <c r="I209" s="26">
        <f>D209*0.888*6</f>
        <v>5462.6918399999995</v>
      </c>
      <c r="J209" s="16">
        <f>12+26+31+10+3+12+35+12</f>
        <v>141</v>
      </c>
      <c r="K209" s="26"/>
    </row>
    <row r="210" spans="1:13" x14ac:dyDescent="0.2">
      <c r="A210" s="71"/>
      <c r="B210" s="72" t="s">
        <v>383</v>
      </c>
      <c r="C210" s="73" t="s">
        <v>9</v>
      </c>
      <c r="D210" s="59">
        <v>426.24</v>
      </c>
      <c r="E210" s="272"/>
      <c r="F210" s="265"/>
      <c r="G210" s="266">
        <f t="shared" si="39"/>
        <v>0</v>
      </c>
      <c r="I210" s="26">
        <f>D210*0.888*6</f>
        <v>2271.0067200000003</v>
      </c>
      <c r="J210" s="16">
        <f>12+26+31+10+3+12+35+12</f>
        <v>141</v>
      </c>
      <c r="K210" s="26"/>
    </row>
    <row r="211" spans="1:13" x14ac:dyDescent="0.2">
      <c r="A211" s="109" t="s">
        <v>163</v>
      </c>
      <c r="B211" s="106" t="s">
        <v>193</v>
      </c>
      <c r="C211" s="107"/>
      <c r="D211" s="108"/>
      <c r="E211" s="282"/>
      <c r="F211" s="265"/>
      <c r="G211" s="266">
        <f t="shared" ref="G211:G214" si="41">(D211*E211)+(D211*F211)</f>
        <v>0</v>
      </c>
      <c r="H211" s="33"/>
      <c r="I211" s="29"/>
    </row>
    <row r="212" spans="1:13" x14ac:dyDescent="0.2">
      <c r="A212" s="109" t="s">
        <v>172</v>
      </c>
      <c r="B212" s="72" t="s">
        <v>222</v>
      </c>
      <c r="C212" s="73" t="s">
        <v>9</v>
      </c>
      <c r="D212" s="59">
        <v>86.8</v>
      </c>
      <c r="E212" s="272"/>
      <c r="F212" s="265"/>
      <c r="G212" s="266">
        <f t="shared" si="41"/>
        <v>0</v>
      </c>
      <c r="H212" s="33"/>
      <c r="I212" s="26">
        <f>0.617*D212*6</f>
        <v>321.33359999999999</v>
      </c>
    </row>
    <row r="213" spans="1:13" x14ac:dyDescent="0.2">
      <c r="A213" s="71" t="s">
        <v>173</v>
      </c>
      <c r="B213" s="75" t="s">
        <v>206</v>
      </c>
      <c r="C213" s="76"/>
      <c r="D213" s="77"/>
      <c r="E213" s="282"/>
      <c r="F213" s="265"/>
      <c r="G213" s="266">
        <f t="shared" si="41"/>
        <v>0</v>
      </c>
    </row>
    <row r="214" spans="1:13" x14ac:dyDescent="0.2">
      <c r="A214" s="71"/>
      <c r="B214" s="72" t="s">
        <v>222</v>
      </c>
      <c r="C214" s="73" t="s">
        <v>9</v>
      </c>
      <c r="D214" s="59">
        <v>4817.3999999999996</v>
      </c>
      <c r="E214" s="272"/>
      <c r="F214" s="265"/>
      <c r="G214" s="266">
        <f t="shared" si="41"/>
        <v>0</v>
      </c>
      <c r="I214" s="26">
        <f>0.617*D214*6</f>
        <v>17834.014799999997</v>
      </c>
      <c r="K214" s="16">
        <f>K111*7</f>
        <v>2563.9250000000002</v>
      </c>
      <c r="L214" s="16">
        <f>K214/6</f>
        <v>427.32083333333338</v>
      </c>
      <c r="M214" s="16">
        <f>L214/6</f>
        <v>71.220138888888897</v>
      </c>
    </row>
    <row r="215" spans="1:13" x14ac:dyDescent="0.2">
      <c r="A215" s="368" t="s">
        <v>55</v>
      </c>
      <c r="B215" s="68" t="s">
        <v>67</v>
      </c>
      <c r="C215" s="104"/>
      <c r="D215" s="105"/>
      <c r="E215" s="272"/>
      <c r="F215" s="265"/>
      <c r="G215" s="266">
        <f t="shared" ref="G215" si="42">(D215*E215)+(D215*F215)</f>
        <v>0</v>
      </c>
    </row>
    <row r="216" spans="1:13" x14ac:dyDescent="0.2">
      <c r="A216" s="109" t="s">
        <v>162</v>
      </c>
      <c r="B216" s="106" t="s">
        <v>269</v>
      </c>
      <c r="C216" s="107"/>
      <c r="D216" s="108"/>
      <c r="E216" s="282"/>
      <c r="F216" s="265"/>
      <c r="G216" s="266"/>
    </row>
    <row r="217" spans="1:13" x14ac:dyDescent="0.2">
      <c r="A217" s="71"/>
      <c r="B217" s="72" t="s">
        <v>373</v>
      </c>
      <c r="C217" s="103"/>
      <c r="D217" s="74"/>
      <c r="E217" s="262"/>
      <c r="F217" s="265"/>
      <c r="G217" s="266">
        <f t="shared" ref="G217:G227" si="43">(D217*E217)+(D217*F217)</f>
        <v>0</v>
      </c>
      <c r="I217" s="16">
        <f>3.82*5+4.08*5</f>
        <v>39.5</v>
      </c>
      <c r="J217" s="16">
        <f t="shared" ref="J217" si="44">I217*0.2*0.3</f>
        <v>2.37</v>
      </c>
    </row>
    <row r="218" spans="1:13" x14ac:dyDescent="0.2">
      <c r="A218" s="71"/>
      <c r="B218" s="72" t="s">
        <v>270</v>
      </c>
      <c r="C218" s="73" t="s">
        <v>9</v>
      </c>
      <c r="D218" s="59">
        <v>1058.1480000000001</v>
      </c>
      <c r="E218" s="272"/>
      <c r="F218" s="265"/>
      <c r="G218" s="266">
        <f t="shared" si="43"/>
        <v>0</v>
      </c>
      <c r="I218" s="26">
        <f>D218*0.888*6</f>
        <v>5637.8125440000013</v>
      </c>
      <c r="J218" s="16">
        <f>12+26+31+10+3+12+35+12</f>
        <v>141</v>
      </c>
      <c r="K218" s="26"/>
    </row>
    <row r="219" spans="1:13" x14ac:dyDescent="0.2">
      <c r="A219" s="71"/>
      <c r="B219" s="72" t="s">
        <v>221</v>
      </c>
      <c r="C219" s="73" t="s">
        <v>9</v>
      </c>
      <c r="D219" s="59">
        <v>127.09200000000001</v>
      </c>
      <c r="E219" s="272"/>
      <c r="F219" s="265"/>
      <c r="G219" s="266">
        <f t="shared" ref="G219" si="45">(D219*E219)+(D219*F219)</f>
        <v>0</v>
      </c>
      <c r="I219" s="26">
        <f>D219*0.888*6</f>
        <v>677.14617600000008</v>
      </c>
      <c r="J219" s="16">
        <f>12+26+31+10+3+12+35+12</f>
        <v>141</v>
      </c>
      <c r="K219" s="26"/>
    </row>
    <row r="220" spans="1:13" x14ac:dyDescent="0.2">
      <c r="A220" s="71"/>
      <c r="B220" s="72" t="s">
        <v>383</v>
      </c>
      <c r="C220" s="73" t="s">
        <v>9</v>
      </c>
      <c r="D220" s="59">
        <v>202.89024000000001</v>
      </c>
      <c r="E220" s="272"/>
      <c r="F220" s="265"/>
      <c r="G220" s="266">
        <f t="shared" si="43"/>
        <v>0</v>
      </c>
      <c r="I220" s="26">
        <f>D220*0.888*6</f>
        <v>1080.9991987200001</v>
      </c>
      <c r="J220" s="16">
        <f>12+26+31+10+3+12+35+12</f>
        <v>141</v>
      </c>
      <c r="K220" s="26"/>
    </row>
    <row r="221" spans="1:13" x14ac:dyDescent="0.2">
      <c r="A221" s="71"/>
      <c r="B221" s="72" t="s">
        <v>374</v>
      </c>
      <c r="C221" s="103"/>
      <c r="D221" s="74"/>
      <c r="E221" s="262"/>
      <c r="F221" s="265"/>
      <c r="G221" s="266">
        <f t="shared" si="43"/>
        <v>0</v>
      </c>
      <c r="I221" s="16">
        <f>3*10</f>
        <v>30</v>
      </c>
      <c r="J221" s="16">
        <f>I221*0.2*0.3</f>
        <v>1.7999999999999998</v>
      </c>
    </row>
    <row r="222" spans="1:13" x14ac:dyDescent="0.2">
      <c r="A222" s="71"/>
      <c r="B222" s="72" t="s">
        <v>270</v>
      </c>
      <c r="C222" s="73" t="s">
        <v>9</v>
      </c>
      <c r="D222" s="59">
        <v>169.93600000000001</v>
      </c>
      <c r="E222" s="272"/>
      <c r="F222" s="265"/>
      <c r="G222" s="266">
        <f t="shared" ref="G222:G224" si="46">(D222*E222)+(D222*F222)</f>
        <v>0</v>
      </c>
      <c r="I222" s="26">
        <f>D222*0.888*6</f>
        <v>905.41900800000008</v>
      </c>
      <c r="J222" s="16">
        <f>12+26+31+10+3+12+35+12</f>
        <v>141</v>
      </c>
      <c r="K222" s="26"/>
    </row>
    <row r="223" spans="1:13" x14ac:dyDescent="0.2">
      <c r="A223" s="71"/>
      <c r="B223" s="72" t="s">
        <v>222</v>
      </c>
      <c r="C223" s="73" t="s">
        <v>9</v>
      </c>
      <c r="D223" s="59">
        <v>21.327999999999999</v>
      </c>
      <c r="E223" s="272"/>
      <c r="F223" s="265"/>
      <c r="G223" s="266">
        <f t="shared" si="46"/>
        <v>0</v>
      </c>
      <c r="I223" s="26">
        <f>D223*0.888*6</f>
        <v>113.63558400000001</v>
      </c>
      <c r="J223" s="16">
        <f>12+26+31+10+3+12+35+12</f>
        <v>141</v>
      </c>
      <c r="K223" s="26"/>
    </row>
    <row r="224" spans="1:13" x14ac:dyDescent="0.2">
      <c r="A224" s="71"/>
      <c r="B224" s="72" t="s">
        <v>383</v>
      </c>
      <c r="C224" s="73" t="s">
        <v>9</v>
      </c>
      <c r="D224" s="59">
        <v>48.875520000000002</v>
      </c>
      <c r="E224" s="272"/>
      <c r="F224" s="265"/>
      <c r="G224" s="266">
        <f t="shared" si="46"/>
        <v>0</v>
      </c>
      <c r="I224" s="26">
        <f>D224*0.888*6</f>
        <v>260.40877055999999</v>
      </c>
      <c r="J224" s="16">
        <f>12+26+31+10+3+12+35+12</f>
        <v>141</v>
      </c>
      <c r="K224" s="26"/>
    </row>
    <row r="225" spans="1:18" x14ac:dyDescent="0.2">
      <c r="A225" s="71"/>
      <c r="B225" s="72" t="s">
        <v>375</v>
      </c>
      <c r="C225" s="103"/>
      <c r="D225" s="74"/>
      <c r="E225" s="262"/>
      <c r="F225" s="265"/>
      <c r="G225" s="266">
        <f t="shared" si="43"/>
        <v>0</v>
      </c>
      <c r="I225" s="16">
        <v>3</v>
      </c>
      <c r="J225" s="16">
        <f>I225*0.2*0.4</f>
        <v>0.24000000000000005</v>
      </c>
    </row>
    <row r="226" spans="1:18" x14ac:dyDescent="0.2">
      <c r="A226" s="71"/>
      <c r="B226" s="72" t="s">
        <v>220</v>
      </c>
      <c r="C226" s="73" t="s">
        <v>9</v>
      </c>
      <c r="D226" s="59">
        <v>1916.8188</v>
      </c>
      <c r="E226" s="272"/>
      <c r="F226" s="265"/>
      <c r="G226" s="266">
        <f t="shared" si="43"/>
        <v>0</v>
      </c>
      <c r="I226" s="26">
        <f>D226*0.888*6</f>
        <v>10212.8105664</v>
      </c>
      <c r="J226" s="16">
        <f>12+26+31+10+3+12+35+12</f>
        <v>141</v>
      </c>
      <c r="K226" s="26"/>
    </row>
    <row r="227" spans="1:18" x14ac:dyDescent="0.2">
      <c r="A227" s="71"/>
      <c r="B227" s="72" t="s">
        <v>383</v>
      </c>
      <c r="C227" s="73" t="s">
        <v>9</v>
      </c>
      <c r="D227" s="59">
        <v>413.47411199999999</v>
      </c>
      <c r="E227" s="272"/>
      <c r="F227" s="265"/>
      <c r="G227" s="266">
        <f t="shared" si="43"/>
        <v>0</v>
      </c>
      <c r="I227" s="26">
        <f>D227*0.888*6</f>
        <v>2202.990068736</v>
      </c>
      <c r="J227" s="16">
        <f>12+26+31+10+3+12+35+12</f>
        <v>141</v>
      </c>
      <c r="K227" s="26"/>
    </row>
    <row r="228" spans="1:18" x14ac:dyDescent="0.2">
      <c r="A228" s="71"/>
      <c r="B228" s="72" t="s">
        <v>376</v>
      </c>
      <c r="C228" s="103"/>
      <c r="D228" s="74"/>
      <c r="E228" s="262"/>
      <c r="F228" s="265"/>
      <c r="G228" s="266">
        <f t="shared" ref="G228:G230" si="47">(D228*E228)+(D228*F228)</f>
        <v>0</v>
      </c>
      <c r="I228" s="16">
        <v>3</v>
      </c>
      <c r="J228" s="16">
        <f>I228*0.2*0.4</f>
        <v>0.24000000000000005</v>
      </c>
    </row>
    <row r="229" spans="1:18" x14ac:dyDescent="0.2">
      <c r="A229" s="71"/>
      <c r="B229" s="72" t="s">
        <v>220</v>
      </c>
      <c r="C229" s="73" t="s">
        <v>9</v>
      </c>
      <c r="D229" s="59">
        <v>293.43600000000004</v>
      </c>
      <c r="E229" s="272"/>
      <c r="F229" s="265"/>
      <c r="G229" s="266">
        <f t="shared" si="47"/>
        <v>0</v>
      </c>
      <c r="I229" s="26">
        <f>D229*0.888*6</f>
        <v>1563.4270080000003</v>
      </c>
      <c r="J229" s="16">
        <f>12+26+31+10+3+12+35+12</f>
        <v>141</v>
      </c>
      <c r="K229" s="26"/>
    </row>
    <row r="230" spans="1:18" x14ac:dyDescent="0.2">
      <c r="A230" s="71"/>
      <c r="B230" s="72" t="s">
        <v>383</v>
      </c>
      <c r="C230" s="73" t="s">
        <v>9</v>
      </c>
      <c r="D230" s="59">
        <v>45.714240000000004</v>
      </c>
      <c r="E230" s="272"/>
      <c r="F230" s="265"/>
      <c r="G230" s="266">
        <f t="shared" si="47"/>
        <v>0</v>
      </c>
      <c r="I230" s="26">
        <f>D230*0.888*6</f>
        <v>243.56547072000001</v>
      </c>
      <c r="J230" s="16">
        <f>12+26+31+10+3+12+35+12</f>
        <v>141</v>
      </c>
      <c r="K230" s="26"/>
    </row>
    <row r="231" spans="1:18" x14ac:dyDescent="0.2">
      <c r="A231" s="109" t="s">
        <v>163</v>
      </c>
      <c r="B231" s="106" t="s">
        <v>267</v>
      </c>
      <c r="C231" s="107"/>
      <c r="D231" s="108"/>
      <c r="E231" s="282"/>
      <c r="F231" s="265"/>
      <c r="G231" s="266">
        <f t="shared" ref="G231:G232" si="48">(D231*E231)+(D231*F231)</f>
        <v>0</v>
      </c>
      <c r="H231" s="33"/>
      <c r="I231" s="29"/>
      <c r="K231" s="16" t="e">
        <f>#REF!</f>
        <v>#REF!</v>
      </c>
      <c r="L231" s="16" t="e">
        <f>K231*14</f>
        <v>#REF!</v>
      </c>
      <c r="M231" s="16" t="e">
        <f>L231*75%</f>
        <v>#REF!</v>
      </c>
      <c r="N231" s="16" t="e">
        <f>L231+M231</f>
        <v>#REF!</v>
      </c>
      <c r="O231" s="16" t="e">
        <f>N231/6</f>
        <v>#REF!</v>
      </c>
    </row>
    <row r="232" spans="1:18" x14ac:dyDescent="0.2">
      <c r="A232" s="109" t="s">
        <v>172</v>
      </c>
      <c r="B232" s="72" t="s">
        <v>221</v>
      </c>
      <c r="C232" s="73" t="s">
        <v>9</v>
      </c>
      <c r="D232" s="59">
        <v>5576.561999999999</v>
      </c>
      <c r="E232" s="272"/>
      <c r="F232" s="265"/>
      <c r="G232" s="266">
        <f t="shared" si="48"/>
        <v>0</v>
      </c>
      <c r="H232" s="33"/>
      <c r="I232" s="26">
        <f>0.617*D232*6</f>
        <v>20644.432523999996</v>
      </c>
    </row>
    <row r="233" spans="1:18" x14ac:dyDescent="0.2">
      <c r="A233" s="109" t="s">
        <v>172</v>
      </c>
      <c r="B233" s="72" t="s">
        <v>222</v>
      </c>
      <c r="C233" s="73" t="s">
        <v>9</v>
      </c>
      <c r="D233" s="59">
        <v>2589.864</v>
      </c>
      <c r="E233" s="272"/>
      <c r="F233" s="265"/>
      <c r="G233" s="266">
        <f t="shared" ref="G233" si="49">(D233*E233)+(D233*F233)</f>
        <v>0</v>
      </c>
      <c r="H233" s="33"/>
      <c r="I233" s="26">
        <f>0.617*D233*6</f>
        <v>9587.676528</v>
      </c>
    </row>
    <row r="234" spans="1:18" x14ac:dyDescent="0.2">
      <c r="A234" s="109" t="s">
        <v>173</v>
      </c>
      <c r="B234" s="106" t="s">
        <v>169</v>
      </c>
      <c r="C234" s="107"/>
      <c r="D234" s="108"/>
      <c r="E234" s="282"/>
      <c r="F234" s="265"/>
      <c r="G234" s="266"/>
    </row>
    <row r="235" spans="1:18" x14ac:dyDescent="0.2">
      <c r="A235" s="79" t="s">
        <v>7</v>
      </c>
      <c r="B235" s="72" t="s">
        <v>370</v>
      </c>
      <c r="C235" s="103"/>
      <c r="D235" s="74"/>
      <c r="E235" s="262"/>
      <c r="F235" s="265"/>
      <c r="G235" s="266">
        <f t="shared" ref="G235:G243" si="50">(D235*E235)+(D235*F235)</f>
        <v>0</v>
      </c>
      <c r="I235" s="16">
        <f>0.2*0.2*4.275*35</f>
        <v>5.9850000000000012</v>
      </c>
      <c r="N235" s="16">
        <v>10</v>
      </c>
      <c r="O235" s="16">
        <v>1</v>
      </c>
      <c r="P235" s="16">
        <v>10</v>
      </c>
      <c r="Q235" s="16">
        <f>P235*O235</f>
        <v>10</v>
      </c>
      <c r="R235" s="16">
        <f>Q235*N235</f>
        <v>100</v>
      </c>
    </row>
    <row r="236" spans="1:18" x14ac:dyDescent="0.2">
      <c r="A236" s="71"/>
      <c r="B236" s="72" t="s">
        <v>270</v>
      </c>
      <c r="C236" s="73" t="s">
        <v>9</v>
      </c>
      <c r="D236" s="59">
        <v>1659.8400000000001</v>
      </c>
      <c r="E236" s="272"/>
      <c r="F236" s="265"/>
      <c r="G236" s="266">
        <f t="shared" si="50"/>
        <v>0</v>
      </c>
      <c r="I236" s="26">
        <f>D236*0.888*6</f>
        <v>8843.62752</v>
      </c>
      <c r="J236" s="16">
        <f>12+26+31+10+3+12+35+12</f>
        <v>141</v>
      </c>
      <c r="K236" s="26"/>
    </row>
    <row r="237" spans="1:18" x14ac:dyDescent="0.2">
      <c r="A237" s="71"/>
      <c r="B237" s="72" t="s">
        <v>383</v>
      </c>
      <c r="C237" s="73" t="s">
        <v>9</v>
      </c>
      <c r="D237" s="59">
        <v>348.09600000000006</v>
      </c>
      <c r="E237" s="272"/>
      <c r="F237" s="265"/>
      <c r="G237" s="266">
        <f t="shared" si="50"/>
        <v>0</v>
      </c>
      <c r="I237" s="26">
        <f>D237*0.888*6</f>
        <v>1854.6554880000003</v>
      </c>
      <c r="J237" s="16">
        <f>12+26+31+10+3+12+35+12</f>
        <v>141</v>
      </c>
      <c r="K237" s="26"/>
    </row>
    <row r="238" spans="1:18" x14ac:dyDescent="0.2">
      <c r="A238" s="79" t="s">
        <v>360</v>
      </c>
      <c r="B238" s="72" t="s">
        <v>371</v>
      </c>
      <c r="C238" s="103"/>
      <c r="D238" s="74"/>
      <c r="E238" s="262"/>
      <c r="F238" s="265"/>
      <c r="G238" s="266">
        <f t="shared" si="50"/>
        <v>0</v>
      </c>
      <c r="I238" s="16">
        <f>0.4*0.2*4.275*5</f>
        <v>1.7100000000000004</v>
      </c>
      <c r="N238" s="16">
        <v>-10</v>
      </c>
      <c r="O238" s="16">
        <v>1</v>
      </c>
      <c r="P238" s="16">
        <v>30</v>
      </c>
      <c r="Q238" s="16">
        <f>P238*O238</f>
        <v>30</v>
      </c>
      <c r="R238" s="16">
        <f>Q238*N238</f>
        <v>-300</v>
      </c>
    </row>
    <row r="239" spans="1:18" x14ac:dyDescent="0.2">
      <c r="A239" s="71"/>
      <c r="B239" s="72" t="s">
        <v>220</v>
      </c>
      <c r="C239" s="73" t="s">
        <v>9</v>
      </c>
      <c r="D239" s="59">
        <v>442.40000000000003</v>
      </c>
      <c r="E239" s="272"/>
      <c r="F239" s="265"/>
      <c r="G239" s="266">
        <f t="shared" si="50"/>
        <v>0</v>
      </c>
      <c r="I239" s="26">
        <f>D239*0.888*6</f>
        <v>2357.1072000000004</v>
      </c>
      <c r="J239" s="16">
        <f>12+26+31+10+3+12+35+12</f>
        <v>141</v>
      </c>
      <c r="K239" s="26"/>
    </row>
    <row r="240" spans="1:18" x14ac:dyDescent="0.2">
      <c r="A240" s="71"/>
      <c r="B240" s="72" t="s">
        <v>383</v>
      </c>
      <c r="C240" s="73" t="s">
        <v>9</v>
      </c>
      <c r="D240" s="59">
        <v>103.60000000000002</v>
      </c>
      <c r="E240" s="272"/>
      <c r="F240" s="265"/>
      <c r="G240" s="266">
        <f t="shared" si="50"/>
        <v>0</v>
      </c>
      <c r="I240" s="26">
        <f>D240*0.888*6</f>
        <v>551.98080000000016</v>
      </c>
      <c r="J240" s="16">
        <f>12+26+31+10+3+12+35+12</f>
        <v>141</v>
      </c>
      <c r="K240" s="26"/>
    </row>
    <row r="241" spans="1:18" x14ac:dyDescent="0.2">
      <c r="A241" s="79" t="s">
        <v>361</v>
      </c>
      <c r="B241" s="72" t="s">
        <v>372</v>
      </c>
      <c r="C241" s="103"/>
      <c r="D241" s="74"/>
      <c r="E241" s="262"/>
      <c r="F241" s="265"/>
      <c r="G241" s="266">
        <f t="shared" si="50"/>
        <v>0</v>
      </c>
      <c r="I241" s="16">
        <f>0.15*0.15*3.825*6</f>
        <v>0.51637500000000003</v>
      </c>
      <c r="R241" s="16">
        <f>SUM(R235:R238)</f>
        <v>-200</v>
      </c>
    </row>
    <row r="242" spans="1:18" x14ac:dyDescent="0.2">
      <c r="A242" s="71"/>
      <c r="B242" s="72" t="s">
        <v>220</v>
      </c>
      <c r="C242" s="73" t="s">
        <v>9</v>
      </c>
      <c r="D242" s="59">
        <v>897.12</v>
      </c>
      <c r="E242" s="272"/>
      <c r="F242" s="265"/>
      <c r="G242" s="266">
        <f t="shared" si="50"/>
        <v>0</v>
      </c>
      <c r="I242" s="26">
        <f>D242*0.888*6</f>
        <v>4779.8553599999996</v>
      </c>
      <c r="J242" s="16">
        <f>12+26+31+10+3+12+35+12</f>
        <v>141</v>
      </c>
      <c r="K242" s="26"/>
    </row>
    <row r="243" spans="1:18" x14ac:dyDescent="0.2">
      <c r="A243" s="71"/>
      <c r="B243" s="72" t="s">
        <v>383</v>
      </c>
      <c r="C243" s="73" t="s">
        <v>9</v>
      </c>
      <c r="D243" s="59">
        <v>372.96000000000004</v>
      </c>
      <c r="E243" s="272"/>
      <c r="F243" s="265"/>
      <c r="G243" s="266">
        <f t="shared" si="50"/>
        <v>0</v>
      </c>
      <c r="I243" s="26">
        <f>D243*0.888*6</f>
        <v>1987.1308800000002</v>
      </c>
      <c r="J243" s="16">
        <f>12+26+31+10+3+12+35+12</f>
        <v>141</v>
      </c>
      <c r="K243" s="26"/>
    </row>
    <row r="244" spans="1:18" x14ac:dyDescent="0.2">
      <c r="A244" s="368" t="s">
        <v>148</v>
      </c>
      <c r="B244" s="68" t="s">
        <v>261</v>
      </c>
      <c r="C244" s="104"/>
      <c r="D244" s="105"/>
      <c r="E244" s="272"/>
      <c r="F244" s="265"/>
      <c r="G244" s="266">
        <f t="shared" ref="G244" si="51">(D244*E244)+(D244*F244)</f>
        <v>0</v>
      </c>
    </row>
    <row r="245" spans="1:18" x14ac:dyDescent="0.2">
      <c r="A245" s="109" t="s">
        <v>162</v>
      </c>
      <c r="B245" s="106" t="s">
        <v>261</v>
      </c>
      <c r="C245" s="107"/>
      <c r="D245" s="108"/>
      <c r="E245" s="282"/>
      <c r="F245" s="265"/>
      <c r="G245" s="266"/>
    </row>
    <row r="246" spans="1:18" x14ac:dyDescent="0.2">
      <c r="A246" s="71"/>
      <c r="B246" s="72" t="s">
        <v>375</v>
      </c>
      <c r="C246" s="103"/>
      <c r="D246" s="74"/>
      <c r="E246" s="262"/>
      <c r="F246" s="265"/>
      <c r="G246" s="266">
        <f t="shared" ref="G246:G257" si="52">(D246*E246)+(D246*F246)</f>
        <v>0</v>
      </c>
      <c r="I246" s="16">
        <f>3*10</f>
        <v>30</v>
      </c>
      <c r="J246" s="16">
        <f>I246*0.2*0.3</f>
        <v>1.7999999999999998</v>
      </c>
    </row>
    <row r="247" spans="1:18" x14ac:dyDescent="0.2">
      <c r="A247" s="71"/>
      <c r="B247" s="72" t="s">
        <v>220</v>
      </c>
      <c r="C247" s="73" t="s">
        <v>9</v>
      </c>
      <c r="D247" s="59">
        <v>764.02480000000003</v>
      </c>
      <c r="E247" s="272"/>
      <c r="F247" s="265"/>
      <c r="G247" s="266">
        <f t="shared" si="52"/>
        <v>0</v>
      </c>
      <c r="I247" s="26">
        <f>D247*0.888*6</f>
        <v>4070.7241343999999</v>
      </c>
      <c r="J247" s="16">
        <f>12+26+31+10+3+12+35+12</f>
        <v>141</v>
      </c>
      <c r="K247" s="26"/>
    </row>
    <row r="248" spans="1:18" x14ac:dyDescent="0.2">
      <c r="A248" s="71"/>
      <c r="B248" s="72" t="s">
        <v>383</v>
      </c>
      <c r="C248" s="73" t="s">
        <v>9</v>
      </c>
      <c r="D248" s="59">
        <v>343.52102400000001</v>
      </c>
      <c r="E248" s="272"/>
      <c r="F248" s="265"/>
      <c r="G248" s="266">
        <f t="shared" si="52"/>
        <v>0</v>
      </c>
      <c r="I248" s="26">
        <f>D248*0.888*6</f>
        <v>1830.2800158720001</v>
      </c>
      <c r="J248" s="16">
        <f>12+26+31+10+3+12+35+12</f>
        <v>141</v>
      </c>
      <c r="K248" s="26"/>
    </row>
    <row r="249" spans="1:18" x14ac:dyDescent="0.2">
      <c r="A249" s="71"/>
      <c r="B249" s="72" t="s">
        <v>450</v>
      </c>
      <c r="C249" s="103"/>
      <c r="D249" s="74"/>
      <c r="E249" s="262"/>
      <c r="F249" s="265"/>
      <c r="G249" s="266">
        <f t="shared" si="52"/>
        <v>0</v>
      </c>
      <c r="I249" s="16">
        <f>3*10</f>
        <v>30</v>
      </c>
      <c r="J249" s="16">
        <f>I249*0.2*0.3</f>
        <v>1.7999999999999998</v>
      </c>
    </row>
    <row r="250" spans="1:18" x14ac:dyDescent="0.2">
      <c r="A250" s="71"/>
      <c r="B250" s="72" t="s">
        <v>221</v>
      </c>
      <c r="C250" s="73" t="s">
        <v>9</v>
      </c>
      <c r="D250" s="59">
        <v>168.53040000000001</v>
      </c>
      <c r="E250" s="272"/>
      <c r="F250" s="265"/>
      <c r="G250" s="266">
        <f t="shared" ref="G250:G251" si="53">(D250*E250)+(D250*F250)</f>
        <v>0</v>
      </c>
      <c r="I250" s="26">
        <f>D250*0.888*6</f>
        <v>897.92997119999995</v>
      </c>
      <c r="J250" s="16">
        <f>12+26+31+10+3+12+35+12</f>
        <v>141</v>
      </c>
      <c r="K250" s="26"/>
    </row>
    <row r="251" spans="1:18" x14ac:dyDescent="0.2">
      <c r="A251" s="71"/>
      <c r="B251" s="72" t="s">
        <v>383</v>
      </c>
      <c r="C251" s="73" t="s">
        <v>9</v>
      </c>
      <c r="D251" s="59">
        <v>50.445504</v>
      </c>
      <c r="E251" s="272"/>
      <c r="F251" s="265"/>
      <c r="G251" s="266">
        <f t="shared" si="53"/>
        <v>0</v>
      </c>
      <c r="I251" s="26">
        <f>D251*0.888*6</f>
        <v>268.77364531199999</v>
      </c>
      <c r="J251" s="16">
        <f>12+26+31+10+3+12+35+12</f>
        <v>141</v>
      </c>
      <c r="K251" s="26"/>
    </row>
    <row r="252" spans="1:18" x14ac:dyDescent="0.2">
      <c r="A252" s="71"/>
      <c r="B252" s="72" t="s">
        <v>376</v>
      </c>
      <c r="C252" s="103"/>
      <c r="D252" s="74"/>
      <c r="E252" s="262"/>
      <c r="F252" s="265"/>
      <c r="G252" s="266">
        <f t="shared" si="52"/>
        <v>0</v>
      </c>
      <c r="I252" s="16">
        <v>3</v>
      </c>
      <c r="J252" s="16">
        <f>I252*0.2*0.4</f>
        <v>0.24000000000000005</v>
      </c>
    </row>
    <row r="253" spans="1:18" x14ac:dyDescent="0.2">
      <c r="A253" s="71"/>
      <c r="B253" s="72" t="s">
        <v>220</v>
      </c>
      <c r="C253" s="73" t="s">
        <v>9</v>
      </c>
      <c r="D253" s="59">
        <v>170.64000000000001</v>
      </c>
      <c r="E253" s="272"/>
      <c r="F253" s="265"/>
      <c r="G253" s="266">
        <f t="shared" ref="G253:G254" si="54">(D253*E253)+(D253*F253)</f>
        <v>0</v>
      </c>
      <c r="I253" s="26">
        <f>D253*0.888*6</f>
        <v>909.16992000000005</v>
      </c>
      <c r="J253" s="16">
        <f>12+26+31+10+3+12+35+12</f>
        <v>141</v>
      </c>
      <c r="K253" s="26"/>
    </row>
    <row r="254" spans="1:18" x14ac:dyDescent="0.2">
      <c r="A254" s="71"/>
      <c r="B254" s="72" t="s">
        <v>383</v>
      </c>
      <c r="C254" s="73" t="s">
        <v>9</v>
      </c>
      <c r="D254" s="59">
        <v>38.361599999999996</v>
      </c>
      <c r="E254" s="272"/>
      <c r="F254" s="265"/>
      <c r="G254" s="266">
        <f t="shared" si="54"/>
        <v>0</v>
      </c>
      <c r="I254" s="26">
        <f>D254*0.888*6</f>
        <v>204.39060479999998</v>
      </c>
      <c r="J254" s="16">
        <f>12+26+31+10+3+12+35+12</f>
        <v>141</v>
      </c>
      <c r="K254" s="26"/>
    </row>
    <row r="255" spans="1:18" x14ac:dyDescent="0.2">
      <c r="A255" s="71"/>
      <c r="B255" s="72" t="s">
        <v>450</v>
      </c>
      <c r="C255" s="103"/>
      <c r="D255" s="74"/>
      <c r="E255" s="262"/>
      <c r="F255" s="265"/>
      <c r="G255" s="266">
        <f t="shared" si="52"/>
        <v>0</v>
      </c>
      <c r="I255" s="16">
        <v>3</v>
      </c>
      <c r="J255" s="16">
        <f>I255*0.2*0.4</f>
        <v>0.24000000000000005</v>
      </c>
    </row>
    <row r="256" spans="1:18" x14ac:dyDescent="0.2">
      <c r="A256" s="71"/>
      <c r="B256" s="72" t="s">
        <v>221</v>
      </c>
      <c r="C256" s="73" t="s">
        <v>9</v>
      </c>
      <c r="D256" s="59">
        <v>64.08</v>
      </c>
      <c r="E256" s="272"/>
      <c r="F256" s="265"/>
      <c r="G256" s="266">
        <f t="shared" si="52"/>
        <v>0</v>
      </c>
      <c r="I256" s="26">
        <f>D256*0.888*6</f>
        <v>341.41823999999997</v>
      </c>
      <c r="J256" s="16">
        <f>12+26+31+10+3+12+35+12</f>
        <v>141</v>
      </c>
      <c r="K256" s="26"/>
    </row>
    <row r="257" spans="1:13" x14ac:dyDescent="0.2">
      <c r="A257" s="71"/>
      <c r="B257" s="72" t="s">
        <v>383</v>
      </c>
      <c r="C257" s="73" t="s">
        <v>9</v>
      </c>
      <c r="D257" s="59">
        <v>19.180799999999998</v>
      </c>
      <c r="E257" s="272"/>
      <c r="F257" s="265"/>
      <c r="G257" s="266">
        <f t="shared" si="52"/>
        <v>0</v>
      </c>
      <c r="I257" s="26">
        <f>D257*0.888*6</f>
        <v>102.19530239999999</v>
      </c>
      <c r="J257" s="16">
        <f>12+26+31+10+3+12+35+12</f>
        <v>141</v>
      </c>
      <c r="K257" s="26"/>
    </row>
    <row r="258" spans="1:13" x14ac:dyDescent="0.2">
      <c r="A258" s="71"/>
      <c r="B258" s="72"/>
      <c r="C258" s="73"/>
      <c r="D258" s="74"/>
      <c r="E258" s="272"/>
      <c r="F258" s="265"/>
      <c r="G258" s="266"/>
      <c r="I258" s="26"/>
      <c r="J258" s="26"/>
    </row>
    <row r="259" spans="1:13" x14ac:dyDescent="0.2">
      <c r="A259" s="71"/>
      <c r="B259" s="72"/>
      <c r="C259" s="73"/>
      <c r="D259" s="74"/>
      <c r="E259" s="272"/>
      <c r="F259" s="265"/>
      <c r="G259" s="266"/>
      <c r="I259" s="26"/>
      <c r="J259" s="26"/>
    </row>
    <row r="260" spans="1:13" x14ac:dyDescent="0.2">
      <c r="A260" s="71"/>
      <c r="B260" s="72"/>
      <c r="C260" s="73"/>
      <c r="D260" s="74"/>
      <c r="E260" s="272"/>
      <c r="F260" s="265"/>
      <c r="G260" s="266"/>
      <c r="I260" s="26"/>
      <c r="J260" s="26"/>
    </row>
    <row r="261" spans="1:13" x14ac:dyDescent="0.2">
      <c r="A261" s="71"/>
      <c r="B261" s="72"/>
      <c r="C261" s="73"/>
      <c r="D261" s="74"/>
      <c r="E261" s="272"/>
      <c r="F261" s="265"/>
      <c r="G261" s="266"/>
      <c r="I261" s="26"/>
      <c r="J261" s="26"/>
    </row>
    <row r="262" spans="1:13" x14ac:dyDescent="0.2">
      <c r="A262" s="71"/>
      <c r="B262" s="72"/>
      <c r="C262" s="73"/>
      <c r="D262" s="74"/>
      <c r="E262" s="272"/>
      <c r="F262" s="265"/>
      <c r="G262" s="266"/>
      <c r="I262" s="26"/>
      <c r="J262" s="26"/>
    </row>
    <row r="263" spans="1:13" ht="12.75" thickBot="1" x14ac:dyDescent="0.25">
      <c r="A263" s="229"/>
      <c r="B263" s="230"/>
      <c r="C263" s="198"/>
      <c r="D263" s="231"/>
      <c r="E263" s="272"/>
      <c r="F263" s="265"/>
      <c r="G263" s="266"/>
      <c r="I263" s="26"/>
      <c r="J263" s="26"/>
    </row>
    <row r="264" spans="1:13" x14ac:dyDescent="0.2">
      <c r="A264" s="115"/>
      <c r="B264" s="201"/>
      <c r="C264" s="199"/>
      <c r="D264" s="200"/>
      <c r="E264" s="272"/>
      <c r="F264" s="265"/>
      <c r="G264" s="266"/>
      <c r="I264" s="26"/>
      <c r="J264" s="26"/>
    </row>
    <row r="265" spans="1:13" x14ac:dyDescent="0.2">
      <c r="A265" s="368" t="s">
        <v>149</v>
      </c>
      <c r="B265" s="68" t="s">
        <v>197</v>
      </c>
      <c r="C265" s="104"/>
      <c r="D265" s="105"/>
      <c r="E265" s="272"/>
      <c r="F265" s="265"/>
      <c r="G265" s="266">
        <f>(D265*E265)+(D265*F265)</f>
        <v>0</v>
      </c>
    </row>
    <row r="266" spans="1:13" x14ac:dyDescent="0.2">
      <c r="A266" s="111" t="s">
        <v>182</v>
      </c>
      <c r="B266" s="75" t="s">
        <v>271</v>
      </c>
      <c r="C266" s="73"/>
      <c r="D266" s="74"/>
      <c r="E266" s="272"/>
      <c r="F266" s="265"/>
      <c r="G266" s="266">
        <f t="shared" ref="G266:G269" si="55">(D266*E266)+(D266*F266)</f>
        <v>0</v>
      </c>
    </row>
    <row r="267" spans="1:13" ht="48" x14ac:dyDescent="0.2">
      <c r="A267" s="111"/>
      <c r="B267" s="72" t="s">
        <v>272</v>
      </c>
      <c r="C267" s="73" t="s">
        <v>14</v>
      </c>
      <c r="D267" s="74">
        <v>1</v>
      </c>
      <c r="E267" s="272"/>
      <c r="F267" s="265"/>
      <c r="G267" s="266">
        <f t="shared" si="55"/>
        <v>0</v>
      </c>
      <c r="I267" s="16">
        <f>25.725*0.2*0.2*2*2</f>
        <v>4.1160000000000005</v>
      </c>
      <c r="J267" s="16">
        <f>0.375*0.125*25.723*2*2</f>
        <v>4.8230624999999998</v>
      </c>
      <c r="K267" s="16">
        <f>26.4*0.15*0.15*2</f>
        <v>1.1879999999999997</v>
      </c>
      <c r="M267" s="16">
        <f>SUM(I267:L267)</f>
        <v>10.127062500000001</v>
      </c>
    </row>
    <row r="268" spans="1:13" x14ac:dyDescent="0.2">
      <c r="A268" s="111" t="s">
        <v>183</v>
      </c>
      <c r="B268" s="75" t="s">
        <v>273</v>
      </c>
      <c r="C268" s="73"/>
      <c r="D268" s="74"/>
      <c r="E268" s="272"/>
      <c r="F268" s="265"/>
      <c r="G268" s="266">
        <f t="shared" si="55"/>
        <v>0</v>
      </c>
    </row>
    <row r="269" spans="1:13" ht="96" x14ac:dyDescent="0.2">
      <c r="A269" s="111"/>
      <c r="B269" s="360" t="s">
        <v>452</v>
      </c>
      <c r="C269" s="73" t="s">
        <v>14</v>
      </c>
      <c r="D269" s="74">
        <v>1</v>
      </c>
      <c r="E269" s="272"/>
      <c r="F269" s="265"/>
      <c r="G269" s="266">
        <f t="shared" si="55"/>
        <v>0</v>
      </c>
      <c r="I269" s="16">
        <f>30+3.6</f>
        <v>33.6</v>
      </c>
      <c r="J269" s="16">
        <f>I269*0.85*0.1</f>
        <v>2.8559999999999999</v>
      </c>
    </row>
    <row r="270" spans="1:13" ht="15.75" customHeight="1" x14ac:dyDescent="0.2">
      <c r="A270" s="111" t="s">
        <v>184</v>
      </c>
      <c r="B270" s="75" t="s">
        <v>311</v>
      </c>
      <c r="C270" s="73"/>
      <c r="D270" s="74"/>
      <c r="E270" s="272"/>
      <c r="F270" s="265"/>
      <c r="G270" s="266">
        <f>(D270*E270)+(D270*F270)</f>
        <v>0</v>
      </c>
    </row>
    <row r="271" spans="1:13" ht="48" x14ac:dyDescent="0.2">
      <c r="A271" s="111"/>
      <c r="B271" s="112" t="s">
        <v>451</v>
      </c>
      <c r="C271" s="73" t="s">
        <v>14</v>
      </c>
      <c r="D271" s="113">
        <v>1</v>
      </c>
      <c r="E271" s="262"/>
      <c r="F271" s="265"/>
      <c r="G271" s="266">
        <f t="shared" ref="G271" si="56">(D271*E271)+(D271*F271)</f>
        <v>0</v>
      </c>
      <c r="I271" s="16">
        <f>1.7*0.95*0.075*2</f>
        <v>0.24224999999999999</v>
      </c>
      <c r="J271" s="16">
        <f>0.2*0.2*1.7*2</f>
        <v>0.13600000000000001</v>
      </c>
      <c r="K271" s="16">
        <f>SUM(I271:J271)</f>
        <v>0.37824999999999998</v>
      </c>
    </row>
    <row r="272" spans="1:13" x14ac:dyDescent="0.2">
      <c r="A272" s="71" t="s">
        <v>150</v>
      </c>
      <c r="B272" s="75" t="s">
        <v>243</v>
      </c>
      <c r="C272" s="73"/>
      <c r="D272" s="74"/>
      <c r="E272" s="272"/>
      <c r="F272" s="265"/>
      <c r="G272" s="266">
        <f t="shared" ref="G272:G275" si="57">(D272*E272)+(D272*F272)</f>
        <v>0</v>
      </c>
    </row>
    <row r="273" spans="1:13" ht="36" x14ac:dyDescent="0.2">
      <c r="A273" s="111" t="s">
        <v>63</v>
      </c>
      <c r="B273" s="72" t="s">
        <v>329</v>
      </c>
      <c r="C273" s="73" t="s">
        <v>14</v>
      </c>
      <c r="D273" s="74">
        <v>1</v>
      </c>
      <c r="E273" s="272"/>
      <c r="F273" s="265"/>
      <c r="G273" s="266">
        <f t="shared" si="57"/>
        <v>0</v>
      </c>
      <c r="J273" s="26"/>
    </row>
    <row r="274" spans="1:13" ht="36" x14ac:dyDescent="0.2">
      <c r="A274" s="111" t="s">
        <v>64</v>
      </c>
      <c r="B274" s="72" t="s">
        <v>330</v>
      </c>
      <c r="C274" s="73" t="s">
        <v>14</v>
      </c>
      <c r="D274" s="74">
        <v>1</v>
      </c>
      <c r="E274" s="272"/>
      <c r="F274" s="265"/>
      <c r="G274" s="266">
        <f t="shared" si="57"/>
        <v>0</v>
      </c>
    </row>
    <row r="275" spans="1:13" ht="36" x14ac:dyDescent="0.2">
      <c r="A275" s="111" t="s">
        <v>68</v>
      </c>
      <c r="B275" s="72" t="s">
        <v>331</v>
      </c>
      <c r="C275" s="73" t="s">
        <v>14</v>
      </c>
      <c r="D275" s="74">
        <v>1</v>
      </c>
      <c r="E275" s="272"/>
      <c r="F275" s="265"/>
      <c r="G275" s="266">
        <f t="shared" si="57"/>
        <v>0</v>
      </c>
      <c r="I275" s="26"/>
      <c r="J275" s="42"/>
      <c r="K275" s="42"/>
      <c r="L275" s="26"/>
      <c r="M275" s="42"/>
    </row>
    <row r="276" spans="1:13" x14ac:dyDescent="0.2">
      <c r="A276" s="71"/>
      <c r="B276" s="114"/>
      <c r="C276" s="76"/>
      <c r="D276" s="77"/>
      <c r="E276" s="272"/>
      <c r="F276" s="265"/>
      <c r="G276" s="266"/>
      <c r="I276" s="42"/>
      <c r="J276" s="42"/>
      <c r="K276" s="42"/>
      <c r="L276" s="42"/>
      <c r="M276" s="42"/>
    </row>
    <row r="277" spans="1:13" x14ac:dyDescent="0.2">
      <c r="A277" s="71"/>
      <c r="B277" s="114"/>
      <c r="C277" s="76"/>
      <c r="D277" s="77"/>
      <c r="E277" s="272"/>
      <c r="F277" s="265"/>
      <c r="G277" s="266"/>
      <c r="I277" s="42"/>
      <c r="J277" s="42"/>
      <c r="K277" s="42"/>
      <c r="L277" s="42"/>
      <c r="M277" s="42"/>
    </row>
    <row r="278" spans="1:13" x14ac:dyDescent="0.2">
      <c r="A278" s="71"/>
      <c r="B278" s="114"/>
      <c r="C278" s="76"/>
      <c r="D278" s="77"/>
      <c r="E278" s="272"/>
      <c r="F278" s="265"/>
      <c r="G278" s="266"/>
      <c r="I278" s="42"/>
      <c r="J278" s="42"/>
      <c r="K278" s="42"/>
      <c r="L278" s="42"/>
      <c r="M278" s="42"/>
    </row>
    <row r="279" spans="1:13" x14ac:dyDescent="0.2">
      <c r="A279" s="71"/>
      <c r="B279" s="114"/>
      <c r="C279" s="76"/>
      <c r="D279" s="77"/>
      <c r="E279" s="272"/>
      <c r="F279" s="265"/>
      <c r="G279" s="266"/>
      <c r="I279" s="42"/>
      <c r="J279" s="42"/>
      <c r="K279" s="42"/>
      <c r="L279" s="42"/>
      <c r="M279" s="42"/>
    </row>
    <row r="280" spans="1:13" x14ac:dyDescent="0.2">
      <c r="A280" s="71"/>
      <c r="B280" s="114"/>
      <c r="C280" s="76"/>
      <c r="D280" s="77"/>
      <c r="E280" s="272"/>
      <c r="F280" s="265"/>
      <c r="G280" s="266"/>
      <c r="I280" s="42"/>
      <c r="J280" s="42"/>
      <c r="K280" s="42"/>
      <c r="L280" s="42"/>
      <c r="M280" s="42"/>
    </row>
    <row r="281" spans="1:13" x14ac:dyDescent="0.2">
      <c r="A281" s="71"/>
      <c r="B281" s="114"/>
      <c r="C281" s="76"/>
      <c r="D281" s="77"/>
      <c r="E281" s="272"/>
      <c r="F281" s="265"/>
      <c r="G281" s="266"/>
      <c r="I281" s="42"/>
      <c r="J281" s="42"/>
      <c r="K281" s="42"/>
      <c r="L281" s="42"/>
      <c r="M281" s="42"/>
    </row>
    <row r="282" spans="1:13" x14ac:dyDescent="0.2">
      <c r="A282" s="71"/>
      <c r="B282" s="114"/>
      <c r="C282" s="76"/>
      <c r="D282" s="77"/>
      <c r="E282" s="272"/>
      <c r="F282" s="265"/>
      <c r="G282" s="266"/>
      <c r="I282" s="42"/>
      <c r="J282" s="42"/>
      <c r="K282" s="42"/>
      <c r="L282" s="42"/>
      <c r="M282" s="42"/>
    </row>
    <row r="283" spans="1:13" x14ac:dyDescent="0.2">
      <c r="A283" s="71"/>
      <c r="B283" s="114"/>
      <c r="C283" s="76"/>
      <c r="D283" s="77"/>
      <c r="E283" s="272"/>
      <c r="F283" s="265"/>
      <c r="G283" s="266"/>
      <c r="I283" s="42"/>
      <c r="J283" s="42"/>
      <c r="K283" s="42"/>
      <c r="L283" s="42"/>
      <c r="M283" s="42"/>
    </row>
    <row r="284" spans="1:13" x14ac:dyDescent="0.2">
      <c r="A284" s="71"/>
      <c r="B284" s="114"/>
      <c r="C284" s="76"/>
      <c r="D284" s="77"/>
      <c r="E284" s="272"/>
      <c r="F284" s="265"/>
      <c r="G284" s="266"/>
      <c r="I284" s="42"/>
      <c r="J284" s="42"/>
      <c r="K284" s="42"/>
      <c r="L284" s="42"/>
      <c r="M284" s="42"/>
    </row>
    <row r="285" spans="1:13" x14ac:dyDescent="0.2">
      <c r="A285" s="71"/>
      <c r="B285" s="114"/>
      <c r="C285" s="76"/>
      <c r="D285" s="77"/>
      <c r="E285" s="272"/>
      <c r="F285" s="265"/>
      <c r="G285" s="266"/>
      <c r="I285" s="42"/>
      <c r="J285" s="42"/>
      <c r="K285" s="42"/>
      <c r="L285" s="42"/>
      <c r="M285" s="42"/>
    </row>
    <row r="286" spans="1:13" x14ac:dyDescent="0.2">
      <c r="A286" s="71"/>
      <c r="B286" s="114"/>
      <c r="C286" s="76"/>
      <c r="D286" s="77"/>
      <c r="E286" s="272"/>
      <c r="F286" s="265"/>
      <c r="G286" s="266"/>
      <c r="I286" s="42"/>
      <c r="J286" s="42"/>
      <c r="K286" s="42"/>
      <c r="L286" s="42"/>
      <c r="M286" s="42"/>
    </row>
    <row r="287" spans="1:13" x14ac:dyDescent="0.2">
      <c r="A287" s="71"/>
      <c r="B287" s="114"/>
      <c r="C287" s="76"/>
      <c r="D287" s="77"/>
      <c r="E287" s="272"/>
      <c r="F287" s="265"/>
      <c r="G287" s="266"/>
      <c r="I287" s="42"/>
      <c r="J287" s="42"/>
      <c r="K287" s="42"/>
      <c r="L287" s="42"/>
      <c r="M287" s="42"/>
    </row>
    <row r="288" spans="1:13" x14ac:dyDescent="0.2">
      <c r="A288" s="71"/>
      <c r="B288" s="114"/>
      <c r="C288" s="76"/>
      <c r="D288" s="77"/>
      <c r="E288" s="272"/>
      <c r="F288" s="265"/>
      <c r="G288" s="266"/>
      <c r="I288" s="42"/>
      <c r="J288" s="42"/>
      <c r="K288" s="42"/>
      <c r="L288" s="42"/>
      <c r="M288" s="42"/>
    </row>
    <row r="289" spans="1:13" x14ac:dyDescent="0.2">
      <c r="A289" s="71"/>
      <c r="B289" s="114"/>
      <c r="C289" s="76"/>
      <c r="D289" s="77"/>
      <c r="E289" s="272"/>
      <c r="F289" s="265"/>
      <c r="G289" s="266"/>
      <c r="I289" s="42"/>
      <c r="J289" s="42"/>
      <c r="K289" s="42"/>
      <c r="L289" s="42"/>
      <c r="M289" s="42"/>
    </row>
    <row r="290" spans="1:13" ht="12.75" thickBot="1" x14ac:dyDescent="0.25">
      <c r="A290" s="71"/>
      <c r="B290" s="114"/>
      <c r="C290" s="76"/>
      <c r="D290" s="77"/>
      <c r="E290" s="272"/>
      <c r="F290" s="265"/>
      <c r="G290" s="266"/>
      <c r="I290" s="42"/>
      <c r="J290" s="42"/>
      <c r="K290" s="42"/>
      <c r="L290" s="42"/>
      <c r="M290" s="42"/>
    </row>
    <row r="291" spans="1:13" x14ac:dyDescent="0.2">
      <c r="A291" s="219"/>
      <c r="B291" s="220" t="s">
        <v>145</v>
      </c>
      <c r="C291" s="227"/>
      <c r="D291" s="222"/>
      <c r="E291" s="337"/>
      <c r="F291" s="338"/>
      <c r="G291" s="339"/>
    </row>
    <row r="292" spans="1:13" ht="12.75" thickBot="1" x14ac:dyDescent="0.25">
      <c r="A292" s="223"/>
      <c r="B292" s="224" t="s">
        <v>170</v>
      </c>
      <c r="C292" s="228"/>
      <c r="D292" s="226"/>
      <c r="E292" s="334"/>
      <c r="F292" s="340"/>
      <c r="G292" s="341">
        <f>SUM(G93:G275)</f>
        <v>0</v>
      </c>
    </row>
    <row r="293" spans="1:13" x14ac:dyDescent="0.2">
      <c r="A293" s="56"/>
      <c r="B293" s="146"/>
      <c r="C293" s="58"/>
      <c r="D293" s="59"/>
      <c r="E293" s="262"/>
      <c r="F293" s="265"/>
      <c r="G293" s="284"/>
    </row>
    <row r="294" spans="1:13" x14ac:dyDescent="0.2">
      <c r="A294" s="56"/>
      <c r="B294" s="116" t="s">
        <v>101</v>
      </c>
      <c r="C294" s="58"/>
      <c r="D294" s="59"/>
      <c r="E294" s="262"/>
      <c r="F294" s="265"/>
      <c r="G294" s="266"/>
    </row>
    <row r="295" spans="1:13" x14ac:dyDescent="0.2">
      <c r="A295" s="56"/>
      <c r="B295" s="80" t="s">
        <v>102</v>
      </c>
      <c r="C295" s="58"/>
      <c r="D295" s="59"/>
      <c r="E295" s="262"/>
      <c r="F295" s="265"/>
      <c r="G295" s="266"/>
    </row>
    <row r="296" spans="1:13" x14ac:dyDescent="0.2">
      <c r="A296" s="56">
        <v>4.0999999999999996</v>
      </c>
      <c r="B296" s="141" t="s">
        <v>40</v>
      </c>
      <c r="C296" s="58"/>
      <c r="D296" s="59"/>
      <c r="E296" s="262"/>
      <c r="F296" s="265"/>
      <c r="G296" s="266"/>
    </row>
    <row r="297" spans="1:13" ht="60" x14ac:dyDescent="0.2">
      <c r="A297" s="56"/>
      <c r="B297" s="102" t="s">
        <v>199</v>
      </c>
      <c r="C297" s="102"/>
      <c r="D297" s="102"/>
      <c r="E297" s="289"/>
      <c r="F297" s="289"/>
      <c r="G297" s="290"/>
    </row>
    <row r="298" spans="1:13" ht="72" x14ac:dyDescent="0.2">
      <c r="A298" s="56"/>
      <c r="B298" s="102" t="s">
        <v>198</v>
      </c>
      <c r="C298" s="117"/>
      <c r="D298" s="117"/>
      <c r="E298" s="291"/>
      <c r="F298" s="291"/>
      <c r="G298" s="292"/>
    </row>
    <row r="299" spans="1:13" ht="36" x14ac:dyDescent="0.2">
      <c r="A299" s="56"/>
      <c r="B299" s="102" t="s">
        <v>249</v>
      </c>
      <c r="C299" s="117"/>
      <c r="D299" s="117"/>
      <c r="E299" s="291"/>
      <c r="F299" s="291"/>
      <c r="G299" s="292"/>
    </row>
    <row r="300" spans="1:13" x14ac:dyDescent="0.2">
      <c r="A300" s="71" t="s">
        <v>130</v>
      </c>
      <c r="B300" s="142" t="s">
        <v>132</v>
      </c>
      <c r="C300" s="73"/>
      <c r="D300" s="74"/>
      <c r="E300" s="272"/>
      <c r="F300" s="265"/>
      <c r="G300" s="266"/>
    </row>
    <row r="301" spans="1:13" x14ac:dyDescent="0.2">
      <c r="A301" s="368" t="s">
        <v>146</v>
      </c>
      <c r="B301" s="143" t="s">
        <v>131</v>
      </c>
      <c r="C301" s="69"/>
      <c r="D301" s="70"/>
      <c r="E301" s="282"/>
      <c r="F301" s="283"/>
      <c r="G301" s="284"/>
      <c r="I301" s="26"/>
    </row>
    <row r="302" spans="1:13" x14ac:dyDescent="0.2">
      <c r="A302" s="71"/>
      <c r="B302" s="144" t="s">
        <v>384</v>
      </c>
      <c r="C302" s="76"/>
      <c r="D302" s="77"/>
      <c r="E302" s="282"/>
      <c r="F302" s="283"/>
      <c r="G302" s="266"/>
    </row>
    <row r="303" spans="1:13" ht="24" x14ac:dyDescent="0.2">
      <c r="A303" s="71"/>
      <c r="B303" s="72" t="s">
        <v>385</v>
      </c>
      <c r="C303" s="73" t="s">
        <v>137</v>
      </c>
      <c r="D303" s="74">
        <v>462.84</v>
      </c>
      <c r="E303" s="272"/>
      <c r="F303" s="265"/>
      <c r="G303" s="266">
        <f t="shared" ref="G303" si="58">(D303*E303)+(D303*F303)</f>
        <v>0</v>
      </c>
      <c r="I303" s="42" t="e">
        <f>#REF!+#REF!</f>
        <v>#REF!</v>
      </c>
      <c r="J303" s="42" t="e">
        <f>I303*0.45</f>
        <v>#REF!</v>
      </c>
    </row>
    <row r="304" spans="1:13" x14ac:dyDescent="0.2">
      <c r="A304" s="368" t="s">
        <v>147</v>
      </c>
      <c r="B304" s="143" t="s">
        <v>65</v>
      </c>
      <c r="C304" s="69"/>
      <c r="D304" s="70"/>
      <c r="E304" s="282"/>
      <c r="F304" s="283"/>
      <c r="G304" s="284"/>
    </row>
    <row r="305" spans="1:13" x14ac:dyDescent="0.2">
      <c r="A305" s="71" t="s">
        <v>162</v>
      </c>
      <c r="B305" s="144" t="s">
        <v>276</v>
      </c>
      <c r="C305" s="76"/>
      <c r="D305" s="77"/>
      <c r="E305" s="282"/>
      <c r="F305" s="283"/>
      <c r="G305" s="266">
        <f t="shared" ref="G305:G308" si="59">(D305*E305)+(D305*F305)</f>
        <v>0</v>
      </c>
    </row>
    <row r="306" spans="1:13" ht="24" x14ac:dyDescent="0.2">
      <c r="A306" s="111" t="s">
        <v>182</v>
      </c>
      <c r="B306" s="72" t="s">
        <v>386</v>
      </c>
      <c r="C306" s="73" t="s">
        <v>137</v>
      </c>
      <c r="D306" s="74">
        <v>325.82499999999999</v>
      </c>
      <c r="E306" s="272"/>
      <c r="F306" s="265"/>
      <c r="G306" s="266">
        <f t="shared" si="59"/>
        <v>0</v>
      </c>
      <c r="I306" s="16">
        <f>3*19+4.02*2+4.08*2</f>
        <v>73.199999999999989</v>
      </c>
      <c r="J306" s="16">
        <f>I306*3.275</f>
        <v>239.72999999999996</v>
      </c>
      <c r="K306" s="42">
        <v>81</v>
      </c>
      <c r="L306" s="16">
        <f>J306-K306</f>
        <v>158.72999999999996</v>
      </c>
      <c r="M306" s="16">
        <f>L306*103%</f>
        <v>163.49189999999996</v>
      </c>
    </row>
    <row r="307" spans="1:13" x14ac:dyDescent="0.2">
      <c r="A307" s="71" t="s">
        <v>163</v>
      </c>
      <c r="B307" s="144" t="s">
        <v>275</v>
      </c>
      <c r="C307" s="76"/>
      <c r="D307" s="77"/>
      <c r="E307" s="282"/>
      <c r="F307" s="283"/>
      <c r="G307" s="266">
        <f t="shared" si="59"/>
        <v>0</v>
      </c>
    </row>
    <row r="308" spans="1:13" ht="24" x14ac:dyDescent="0.2">
      <c r="A308" s="111" t="s">
        <v>182</v>
      </c>
      <c r="B308" s="72" t="s">
        <v>386</v>
      </c>
      <c r="C308" s="73" t="s">
        <v>137</v>
      </c>
      <c r="D308" s="74">
        <v>240</v>
      </c>
      <c r="E308" s="272"/>
      <c r="F308" s="265"/>
      <c r="G308" s="266">
        <f t="shared" si="59"/>
        <v>0</v>
      </c>
      <c r="I308" s="16">
        <f>4.08*5+4.02*5</f>
        <v>40.5</v>
      </c>
      <c r="J308" s="16">
        <f>I308*3.05</f>
        <v>123.52499999999999</v>
      </c>
    </row>
    <row r="309" spans="1:13" x14ac:dyDescent="0.2">
      <c r="A309" s="71"/>
      <c r="B309" s="145"/>
      <c r="C309" s="73"/>
      <c r="D309" s="74"/>
      <c r="E309" s="272"/>
      <c r="F309" s="265"/>
      <c r="G309" s="266"/>
    </row>
    <row r="310" spans="1:13" x14ac:dyDescent="0.2">
      <c r="A310" s="368" t="s">
        <v>55</v>
      </c>
      <c r="B310" s="143" t="s">
        <v>67</v>
      </c>
      <c r="C310" s="69"/>
      <c r="D310" s="70"/>
      <c r="E310" s="282"/>
      <c r="F310" s="283"/>
      <c r="G310" s="284"/>
    </row>
    <row r="311" spans="1:13" x14ac:dyDescent="0.2">
      <c r="A311" s="71" t="s">
        <v>162</v>
      </c>
      <c r="B311" s="144" t="s">
        <v>276</v>
      </c>
      <c r="C311" s="76"/>
      <c r="D311" s="77"/>
      <c r="E311" s="282"/>
      <c r="F311" s="283"/>
      <c r="G311" s="266">
        <f t="shared" ref="G311:G314" si="60">(D311*E311)+(D311*F311)</f>
        <v>0</v>
      </c>
    </row>
    <row r="312" spans="1:13" ht="24" x14ac:dyDescent="0.2">
      <c r="A312" s="111" t="s">
        <v>182</v>
      </c>
      <c r="B312" s="72" t="s">
        <v>386</v>
      </c>
      <c r="C312" s="73" t="s">
        <v>137</v>
      </c>
      <c r="D312" s="74">
        <v>273.625</v>
      </c>
      <c r="E312" s="272"/>
      <c r="F312" s="265"/>
      <c r="G312" s="266">
        <f t="shared" si="60"/>
        <v>0</v>
      </c>
      <c r="I312" s="16">
        <f>3*19+4.02*2+4.08*2</f>
        <v>73.199999999999989</v>
      </c>
      <c r="J312" s="16">
        <f>I312*3.1</f>
        <v>226.91999999999996</v>
      </c>
      <c r="K312" s="42">
        <v>85</v>
      </c>
      <c r="L312" s="16">
        <f>J312-K312</f>
        <v>141.91999999999996</v>
      </c>
      <c r="M312" s="16">
        <f>L312*103%</f>
        <v>146.17759999999996</v>
      </c>
    </row>
    <row r="313" spans="1:13" x14ac:dyDescent="0.2">
      <c r="A313" s="71" t="s">
        <v>163</v>
      </c>
      <c r="B313" s="144" t="s">
        <v>275</v>
      </c>
      <c r="C313" s="76"/>
      <c r="D313" s="77"/>
      <c r="E313" s="282"/>
      <c r="F313" s="283"/>
      <c r="G313" s="266">
        <f t="shared" si="60"/>
        <v>0</v>
      </c>
    </row>
    <row r="314" spans="1:13" ht="24" x14ac:dyDescent="0.2">
      <c r="A314" s="111" t="s">
        <v>182</v>
      </c>
      <c r="B314" s="72" t="s">
        <v>386</v>
      </c>
      <c r="C314" s="73" t="s">
        <v>137</v>
      </c>
      <c r="D314" s="74">
        <v>33</v>
      </c>
      <c r="E314" s="272"/>
      <c r="F314" s="265"/>
      <c r="G314" s="266">
        <f t="shared" si="60"/>
        <v>0</v>
      </c>
      <c r="I314" s="16">
        <f>4.08*5+4.02*5</f>
        <v>40.5</v>
      </c>
      <c r="J314" s="16">
        <f>I314*3.1</f>
        <v>125.55</v>
      </c>
    </row>
    <row r="315" spans="1:13" x14ac:dyDescent="0.2">
      <c r="A315" s="71"/>
      <c r="B315" s="145"/>
      <c r="C315" s="73"/>
      <c r="D315" s="74"/>
      <c r="E315" s="272"/>
      <c r="F315" s="265"/>
      <c r="G315" s="266"/>
      <c r="K315" s="26"/>
      <c r="L315" s="26"/>
    </row>
    <row r="316" spans="1:13" x14ac:dyDescent="0.2">
      <c r="A316" s="368" t="s">
        <v>149</v>
      </c>
      <c r="B316" s="143" t="s">
        <v>277</v>
      </c>
      <c r="C316" s="69"/>
      <c r="D316" s="70"/>
      <c r="E316" s="282"/>
      <c r="F316" s="283"/>
      <c r="G316" s="284"/>
      <c r="K316" s="26"/>
    </row>
    <row r="317" spans="1:13" x14ac:dyDescent="0.2">
      <c r="A317" s="71" t="s">
        <v>162</v>
      </c>
      <c r="B317" s="144" t="s">
        <v>278</v>
      </c>
      <c r="C317" s="76"/>
      <c r="D317" s="77"/>
      <c r="E317" s="282"/>
      <c r="F317" s="283"/>
      <c r="G317" s="266">
        <f t="shared" ref="G317:G318" si="61">(D317*E317)+(D317*F317)</f>
        <v>0</v>
      </c>
      <c r="K317" s="26"/>
    </row>
    <row r="318" spans="1:13" ht="13.5" x14ac:dyDescent="0.2">
      <c r="A318" s="71"/>
      <c r="B318" s="72" t="s">
        <v>274</v>
      </c>
      <c r="C318" s="73" t="s">
        <v>137</v>
      </c>
      <c r="D318" s="74">
        <v>55</v>
      </c>
      <c r="E318" s="272"/>
      <c r="F318" s="265"/>
      <c r="G318" s="266">
        <f t="shared" si="61"/>
        <v>0</v>
      </c>
      <c r="I318" s="16">
        <f>(5.487+1.95)*2</f>
        <v>14.874000000000001</v>
      </c>
      <c r="K318" s="26"/>
      <c r="L318" s="26"/>
    </row>
    <row r="319" spans="1:13" x14ac:dyDescent="0.2">
      <c r="A319" s="71"/>
      <c r="B319" s="145"/>
      <c r="C319" s="73"/>
      <c r="D319" s="74"/>
      <c r="E319" s="272"/>
      <c r="F319" s="265"/>
      <c r="G319" s="266"/>
      <c r="K319" s="26"/>
    </row>
    <row r="320" spans="1:13" ht="13.5" customHeight="1" thickBot="1" x14ac:dyDescent="0.25">
      <c r="A320" s="229"/>
      <c r="B320" s="233"/>
      <c r="C320" s="198"/>
      <c r="D320" s="231"/>
      <c r="E320" s="272"/>
      <c r="F320" s="265"/>
      <c r="G320" s="266"/>
      <c r="K320" s="26"/>
    </row>
    <row r="321" spans="1:17" ht="13.5" customHeight="1" x14ac:dyDescent="0.2">
      <c r="A321" s="71"/>
      <c r="B321" s="145"/>
      <c r="C321" s="73"/>
      <c r="D321" s="74"/>
      <c r="E321" s="272"/>
      <c r="F321" s="265"/>
      <c r="G321" s="266"/>
      <c r="K321" s="26"/>
    </row>
    <row r="322" spans="1:17" s="310" customFormat="1" ht="12" customHeight="1" x14ac:dyDescent="0.2">
      <c r="A322" s="367">
        <v>4.3</v>
      </c>
      <c r="B322" s="319" t="s">
        <v>103</v>
      </c>
      <c r="C322" s="317"/>
      <c r="D322" s="285"/>
      <c r="E322" s="262"/>
      <c r="F322" s="285"/>
      <c r="G322" s="293"/>
      <c r="K322" s="320"/>
    </row>
    <row r="323" spans="1:17" ht="105.75" customHeight="1" x14ac:dyDescent="0.2">
      <c r="A323" s="56"/>
      <c r="B323" s="102" t="s">
        <v>194</v>
      </c>
      <c r="C323" s="102"/>
      <c r="D323" s="102"/>
      <c r="E323" s="289"/>
      <c r="F323" s="289"/>
      <c r="G323" s="292"/>
    </row>
    <row r="324" spans="1:17" ht="24.75" customHeight="1" x14ac:dyDescent="0.2">
      <c r="A324" s="56"/>
      <c r="B324" s="102" t="s">
        <v>154</v>
      </c>
      <c r="C324" s="102"/>
      <c r="D324" s="102"/>
      <c r="E324" s="289"/>
      <c r="F324" s="291"/>
      <c r="G324" s="292"/>
    </row>
    <row r="325" spans="1:17" ht="52.5" customHeight="1" x14ac:dyDescent="0.2">
      <c r="A325" s="56"/>
      <c r="B325" s="102" t="s">
        <v>248</v>
      </c>
      <c r="C325" s="102"/>
      <c r="D325" s="102"/>
      <c r="E325" s="289"/>
      <c r="F325" s="291"/>
      <c r="G325" s="292"/>
    </row>
    <row r="326" spans="1:17" x14ac:dyDescent="0.2">
      <c r="A326" s="368" t="s">
        <v>146</v>
      </c>
      <c r="B326" s="143" t="s">
        <v>131</v>
      </c>
      <c r="C326" s="69"/>
      <c r="D326" s="70"/>
      <c r="E326" s="282"/>
      <c r="F326" s="283"/>
      <c r="G326" s="284"/>
    </row>
    <row r="327" spans="1:17" ht="12" customHeight="1" x14ac:dyDescent="0.2">
      <c r="A327" s="71" t="s">
        <v>162</v>
      </c>
      <c r="B327" s="142" t="s">
        <v>240</v>
      </c>
      <c r="C327" s="76"/>
      <c r="D327" s="77"/>
      <c r="E327" s="282"/>
      <c r="F327" s="283"/>
      <c r="G327" s="266"/>
    </row>
    <row r="328" spans="1:17" ht="12.75" customHeight="1" x14ac:dyDescent="0.2">
      <c r="A328" s="71"/>
      <c r="B328" s="145" t="s">
        <v>239</v>
      </c>
      <c r="C328" s="73" t="s">
        <v>137</v>
      </c>
      <c r="D328" s="74">
        <v>925.68</v>
      </c>
      <c r="E328" s="272"/>
      <c r="F328" s="265"/>
      <c r="G328" s="266">
        <f t="shared" ref="G328" si="62">(D328*E328)+(D328*F328)</f>
        <v>0</v>
      </c>
    </row>
    <row r="329" spans="1:17" ht="12.75" customHeight="1" x14ac:dyDescent="0.2">
      <c r="A329" s="368" t="s">
        <v>147</v>
      </c>
      <c r="B329" s="143" t="s">
        <v>65</v>
      </c>
      <c r="C329" s="69"/>
      <c r="D329" s="70"/>
      <c r="E329" s="282"/>
      <c r="F329" s="283"/>
      <c r="G329" s="284"/>
    </row>
    <row r="330" spans="1:17" ht="12.75" customHeight="1" x14ac:dyDescent="0.2">
      <c r="A330" s="71" t="s">
        <v>162</v>
      </c>
      <c r="B330" s="144" t="s">
        <v>236</v>
      </c>
      <c r="C330" s="76"/>
      <c r="D330" s="77"/>
      <c r="E330" s="282"/>
      <c r="F330" s="294"/>
      <c r="G330" s="266">
        <f t="shared" ref="G330:G331" si="63">(D330*E330)+(D330*F330)</f>
        <v>0</v>
      </c>
      <c r="H330" s="43"/>
      <c r="I330" s="16">
        <f>32.2*2+8.7*2</f>
        <v>81.800000000000011</v>
      </c>
      <c r="J330" s="16">
        <f>I330*3.875</f>
        <v>316.97500000000002</v>
      </c>
      <c r="K330" s="42">
        <v>81</v>
      </c>
      <c r="L330" s="42">
        <f>J330-K330</f>
        <v>235.97500000000002</v>
      </c>
      <c r="M330" s="42">
        <f>L330*103%</f>
        <v>243.05425000000002</v>
      </c>
      <c r="N330" s="16">
        <f>1.5*3.875</f>
        <v>5.8125</v>
      </c>
      <c r="O330" s="42">
        <f>M330-N330</f>
        <v>237.24175000000002</v>
      </c>
      <c r="P330" s="16">
        <f>33.2+4</f>
        <v>37.200000000000003</v>
      </c>
      <c r="Q330" s="16">
        <f>P330*0.65</f>
        <v>24.180000000000003</v>
      </c>
    </row>
    <row r="331" spans="1:17" ht="12.75" customHeight="1" x14ac:dyDescent="0.2">
      <c r="A331" s="71"/>
      <c r="B331" s="145" t="s">
        <v>133</v>
      </c>
      <c r="C331" s="73" t="s">
        <v>137</v>
      </c>
      <c r="D331" s="74">
        <v>325.82499999999999</v>
      </c>
      <c r="E331" s="272"/>
      <c r="F331" s="265"/>
      <c r="G331" s="266">
        <f t="shared" si="63"/>
        <v>0</v>
      </c>
      <c r="I331" s="16">
        <f>0.45*1.725*9</f>
        <v>6.986250000000001</v>
      </c>
      <c r="P331" s="16">
        <f>0.8*11*3.05</f>
        <v>26.84</v>
      </c>
      <c r="Q331" s="42">
        <f>Q330+O330+P331</f>
        <v>288.26175000000001</v>
      </c>
    </row>
    <row r="332" spans="1:17" ht="12.75" customHeight="1" x14ac:dyDescent="0.2">
      <c r="A332" s="71"/>
      <c r="B332" s="145"/>
      <c r="C332" s="73"/>
      <c r="D332" s="74"/>
      <c r="E332" s="272"/>
      <c r="F332" s="265"/>
      <c r="G332" s="266"/>
    </row>
    <row r="333" spans="1:17" ht="12.75" customHeight="1" x14ac:dyDescent="0.2">
      <c r="A333" s="111" t="s">
        <v>163</v>
      </c>
      <c r="B333" s="114" t="s">
        <v>237</v>
      </c>
      <c r="C333" s="76"/>
      <c r="D333" s="77"/>
      <c r="E333" s="282"/>
      <c r="F333" s="283"/>
      <c r="G333" s="266">
        <f t="shared" ref="G333:G334" si="64">(D333*E333)+(D333*F333)</f>
        <v>0</v>
      </c>
      <c r="I333" s="16">
        <f>8.3*5</f>
        <v>41.5</v>
      </c>
      <c r="J333" s="16">
        <f>I333*3.35*2</f>
        <v>278.05</v>
      </c>
      <c r="L333" s="16">
        <f>6.225*8+3*3+8.5*2</f>
        <v>75.8</v>
      </c>
      <c r="M333" s="16">
        <f>L333*3.35</f>
        <v>253.93</v>
      </c>
      <c r="N333" s="42">
        <f>M333-K330</f>
        <v>172.93</v>
      </c>
    </row>
    <row r="334" spans="1:17" ht="25.5" customHeight="1" x14ac:dyDescent="0.2">
      <c r="A334" s="71"/>
      <c r="B334" s="72" t="s">
        <v>238</v>
      </c>
      <c r="C334" s="73" t="s">
        <v>137</v>
      </c>
      <c r="D334" s="74">
        <v>805.82500000000005</v>
      </c>
      <c r="E334" s="272"/>
      <c r="F334" s="265"/>
      <c r="G334" s="266">
        <f t="shared" si="64"/>
        <v>0</v>
      </c>
      <c r="I334" s="16">
        <f>3.45+2.75+1.55*5+2.7</f>
        <v>16.649999999999999</v>
      </c>
      <c r="J334" s="16">
        <f>I334*3.35*2</f>
        <v>111.55499999999999</v>
      </c>
      <c r="K334" s="16">
        <f>0.78*2*4</f>
        <v>6.24</v>
      </c>
      <c r="L334" s="16">
        <f>J334-K334</f>
        <v>105.315</v>
      </c>
      <c r="N334" s="42">
        <f>N333+L334+J333</f>
        <v>556.29500000000007</v>
      </c>
      <c r="O334" s="42">
        <f>N334*103%</f>
        <v>572.98385000000007</v>
      </c>
    </row>
    <row r="335" spans="1:17" ht="12.75" customHeight="1" x14ac:dyDescent="0.2">
      <c r="A335" s="111"/>
      <c r="B335" s="114"/>
      <c r="C335" s="76"/>
      <c r="D335" s="77"/>
      <c r="E335" s="282"/>
      <c r="F335" s="283"/>
      <c r="G335" s="266"/>
    </row>
    <row r="336" spans="1:17" ht="12.75" customHeight="1" x14ac:dyDescent="0.2">
      <c r="A336" s="368" t="s">
        <v>55</v>
      </c>
      <c r="B336" s="143" t="s">
        <v>67</v>
      </c>
      <c r="C336" s="69"/>
      <c r="D336" s="70"/>
      <c r="E336" s="282"/>
      <c r="F336" s="283"/>
      <c r="G336" s="284"/>
      <c r="I336" s="16">
        <f>32.2*2+8.7*2</f>
        <v>81.800000000000011</v>
      </c>
      <c r="J336" s="16">
        <f>I336*3.5</f>
        <v>286.30000000000007</v>
      </c>
      <c r="K336" s="42">
        <v>85</v>
      </c>
      <c r="L336" s="42">
        <f>J336-K336</f>
        <v>201.30000000000007</v>
      </c>
      <c r="M336" s="42">
        <f>L336*103%</f>
        <v>207.33900000000008</v>
      </c>
      <c r="N336" s="16">
        <f>3*3.05</f>
        <v>9.1499999999999986</v>
      </c>
      <c r="O336" s="42">
        <f>M336-N336</f>
        <v>198.18900000000008</v>
      </c>
      <c r="P336" s="16">
        <f>33.2+4</f>
        <v>37.200000000000003</v>
      </c>
      <c r="Q336" s="16">
        <f>P336*0.65</f>
        <v>24.180000000000003</v>
      </c>
    </row>
    <row r="337" spans="1:17" ht="12.75" customHeight="1" x14ac:dyDescent="0.2">
      <c r="A337" s="71" t="s">
        <v>162</v>
      </c>
      <c r="B337" s="144" t="s">
        <v>236</v>
      </c>
      <c r="C337" s="76"/>
      <c r="D337" s="77"/>
      <c r="E337" s="282"/>
      <c r="F337" s="294"/>
      <c r="G337" s="266">
        <f t="shared" ref="G337:G340" si="65">(D337*E337)+(D337*F337)</f>
        <v>0</v>
      </c>
      <c r="I337" s="16">
        <f>0.45*1.725*9</f>
        <v>6.986250000000001</v>
      </c>
      <c r="M337" s="16">
        <f>33.6*1.8</f>
        <v>60.480000000000004</v>
      </c>
      <c r="N337" s="42">
        <f>M337+Q337</f>
        <v>309.68900000000008</v>
      </c>
      <c r="P337" s="16">
        <f>0.8*11*3.05</f>
        <v>26.84</v>
      </c>
      <c r="Q337" s="42">
        <f>Q336+O336+P337</f>
        <v>249.20900000000009</v>
      </c>
    </row>
    <row r="338" spans="1:17" ht="12.75" customHeight="1" x14ac:dyDescent="0.2">
      <c r="A338" s="71"/>
      <c r="B338" s="145" t="s">
        <v>394</v>
      </c>
      <c r="C338" s="73" t="s">
        <v>137</v>
      </c>
      <c r="D338" s="74">
        <v>273.625</v>
      </c>
      <c r="E338" s="272"/>
      <c r="F338" s="265"/>
      <c r="G338" s="266">
        <f t="shared" si="65"/>
        <v>0</v>
      </c>
    </row>
    <row r="339" spans="1:17" ht="12.75" customHeight="1" x14ac:dyDescent="0.2">
      <c r="A339" s="111" t="s">
        <v>163</v>
      </c>
      <c r="B339" s="114" t="s">
        <v>237</v>
      </c>
      <c r="C339" s="76"/>
      <c r="D339" s="77"/>
      <c r="E339" s="282"/>
      <c r="F339" s="283"/>
      <c r="G339" s="266">
        <f t="shared" si="65"/>
        <v>0</v>
      </c>
      <c r="I339" s="16">
        <f>8.3*5</f>
        <v>41.5</v>
      </c>
      <c r="J339" s="16">
        <f>I339*3.5*2</f>
        <v>290.5</v>
      </c>
      <c r="L339" s="16">
        <f>6.225*8+3*3+8.5*2</f>
        <v>75.8</v>
      </c>
      <c r="M339" s="16">
        <f>L339*3.5</f>
        <v>265.3</v>
      </c>
      <c r="N339" s="42">
        <f>M339-K336</f>
        <v>180.3</v>
      </c>
    </row>
    <row r="340" spans="1:17" ht="24" customHeight="1" x14ac:dyDescent="0.2">
      <c r="A340" s="71"/>
      <c r="B340" s="72" t="s">
        <v>238</v>
      </c>
      <c r="C340" s="73" t="s">
        <v>137</v>
      </c>
      <c r="D340" s="74">
        <v>339.625</v>
      </c>
      <c r="E340" s="272"/>
      <c r="F340" s="265"/>
      <c r="G340" s="266">
        <f t="shared" si="65"/>
        <v>0</v>
      </c>
      <c r="I340" s="16">
        <f>3.45+2.75+1.55*5+3</f>
        <v>16.95</v>
      </c>
      <c r="J340" s="16">
        <f>I340*3.5*2</f>
        <v>118.64999999999999</v>
      </c>
      <c r="K340" s="16">
        <f>0.78*2*4+0.95*2.83</f>
        <v>8.9284999999999997</v>
      </c>
      <c r="L340" s="16">
        <f>J340-K340</f>
        <v>109.72149999999999</v>
      </c>
      <c r="N340" s="42">
        <f>N339+L340+J339</f>
        <v>580.52150000000006</v>
      </c>
      <c r="O340" s="42">
        <f>N340*103%</f>
        <v>597.9371450000001</v>
      </c>
    </row>
    <row r="341" spans="1:17" ht="12.75" customHeight="1" x14ac:dyDescent="0.2">
      <c r="A341" s="71"/>
      <c r="B341" s="72"/>
      <c r="C341" s="73"/>
      <c r="D341" s="74"/>
      <c r="E341" s="272"/>
      <c r="F341" s="265"/>
      <c r="G341" s="266"/>
      <c r="O341" s="26"/>
      <c r="P341" s="26"/>
    </row>
    <row r="342" spans="1:17" ht="12.75" customHeight="1" x14ac:dyDescent="0.2">
      <c r="A342" s="368" t="s">
        <v>148</v>
      </c>
      <c r="B342" s="143" t="s">
        <v>250</v>
      </c>
      <c r="C342" s="69"/>
      <c r="D342" s="70"/>
      <c r="E342" s="282"/>
      <c r="F342" s="283"/>
      <c r="G342" s="284"/>
      <c r="K342" s="26"/>
    </row>
    <row r="343" spans="1:17" ht="12.75" customHeight="1" x14ac:dyDescent="0.2">
      <c r="A343" s="71" t="s">
        <v>162</v>
      </c>
      <c r="B343" s="144" t="s">
        <v>236</v>
      </c>
      <c r="C343" s="76"/>
      <c r="D343" s="77"/>
      <c r="E343" s="282"/>
      <c r="F343" s="294"/>
      <c r="G343" s="266">
        <f t="shared" ref="G343:G346" si="66">(D343*E343)+(D343*F343)</f>
        <v>0</v>
      </c>
      <c r="K343" s="26"/>
    </row>
    <row r="344" spans="1:17" ht="12.75" customHeight="1" x14ac:dyDescent="0.2">
      <c r="A344" s="71"/>
      <c r="B344" s="145" t="s">
        <v>133</v>
      </c>
      <c r="C344" s="73" t="s">
        <v>137</v>
      </c>
      <c r="D344" s="74">
        <v>55</v>
      </c>
      <c r="E344" s="272"/>
      <c r="F344" s="265"/>
      <c r="G344" s="266">
        <f t="shared" si="66"/>
        <v>0</v>
      </c>
      <c r="K344" s="26"/>
      <c r="L344" s="26"/>
      <c r="O344" s="26"/>
    </row>
    <row r="345" spans="1:17" ht="12.75" customHeight="1" x14ac:dyDescent="0.2">
      <c r="A345" s="111" t="s">
        <v>163</v>
      </c>
      <c r="B345" s="114" t="s">
        <v>237</v>
      </c>
      <c r="C345" s="76"/>
      <c r="D345" s="77"/>
      <c r="E345" s="282"/>
      <c r="F345" s="283"/>
      <c r="G345" s="266">
        <f t="shared" si="66"/>
        <v>0</v>
      </c>
      <c r="K345" s="26"/>
    </row>
    <row r="346" spans="1:17" ht="12.75" customHeight="1" x14ac:dyDescent="0.2">
      <c r="A346" s="71"/>
      <c r="B346" s="72" t="s">
        <v>279</v>
      </c>
      <c r="C346" s="73" t="s">
        <v>137</v>
      </c>
      <c r="D346" s="74">
        <v>55</v>
      </c>
      <c r="E346" s="272"/>
      <c r="F346" s="265"/>
      <c r="G346" s="266">
        <f t="shared" si="66"/>
        <v>0</v>
      </c>
      <c r="K346" s="16">
        <f>1.69*2.45*6</f>
        <v>24.843000000000004</v>
      </c>
      <c r="L346" s="26">
        <f>0.95*2.83*6</f>
        <v>16.131</v>
      </c>
      <c r="M346" s="26">
        <f>1.575*2*6</f>
        <v>18.899999999999999</v>
      </c>
      <c r="N346" s="26">
        <f>1.24*1.69</f>
        <v>2.0956000000000001</v>
      </c>
      <c r="O346" s="16">
        <f>0.7*0.55*2</f>
        <v>0.77</v>
      </c>
      <c r="P346" s="16">
        <f>SUM(K346:O346)</f>
        <v>62.739600000000003</v>
      </c>
    </row>
    <row r="347" spans="1:17" ht="12.75" customHeight="1" x14ac:dyDescent="0.2">
      <c r="A347" s="71"/>
      <c r="B347" s="72"/>
      <c r="C347" s="73"/>
      <c r="D347" s="74"/>
      <c r="E347" s="272"/>
      <c r="F347" s="265"/>
      <c r="G347" s="266"/>
      <c r="L347" s="26"/>
      <c r="M347" s="26"/>
      <c r="N347" s="26"/>
    </row>
    <row r="348" spans="1:17" ht="12.75" customHeight="1" x14ac:dyDescent="0.2">
      <c r="A348" s="111"/>
      <c r="B348" s="114"/>
      <c r="C348" s="73"/>
      <c r="D348" s="74"/>
      <c r="E348" s="272"/>
      <c r="F348" s="265"/>
      <c r="G348" s="266"/>
    </row>
    <row r="349" spans="1:17" ht="12.75" customHeight="1" x14ac:dyDescent="0.2">
      <c r="A349" s="111"/>
      <c r="B349" s="114"/>
      <c r="C349" s="73"/>
      <c r="D349" s="74"/>
      <c r="E349" s="272"/>
      <c r="F349" s="265"/>
      <c r="G349" s="266"/>
    </row>
    <row r="350" spans="1:17" ht="12.75" customHeight="1" x14ac:dyDescent="0.2">
      <c r="A350" s="111"/>
      <c r="B350" s="114"/>
      <c r="C350" s="73"/>
      <c r="D350" s="74"/>
      <c r="E350" s="272"/>
      <c r="F350" s="265"/>
      <c r="G350" s="266"/>
    </row>
    <row r="351" spans="1:17" ht="12.75" customHeight="1" x14ac:dyDescent="0.2">
      <c r="A351" s="111"/>
      <c r="B351" s="114"/>
      <c r="C351" s="73"/>
      <c r="D351" s="74"/>
      <c r="E351" s="272"/>
      <c r="F351" s="265"/>
      <c r="G351" s="266"/>
    </row>
    <row r="352" spans="1:17" x14ac:dyDescent="0.2">
      <c r="A352" s="111"/>
      <c r="B352" s="114"/>
      <c r="C352" s="73"/>
      <c r="D352" s="74"/>
      <c r="E352" s="272"/>
      <c r="F352" s="265"/>
      <c r="G352" s="266"/>
    </row>
    <row r="353" spans="1:13" x14ac:dyDescent="0.2">
      <c r="A353" s="111"/>
      <c r="B353" s="114"/>
      <c r="C353" s="73"/>
      <c r="D353" s="74"/>
      <c r="E353" s="272"/>
      <c r="F353" s="265"/>
      <c r="G353" s="266"/>
    </row>
    <row r="354" spans="1:13" x14ac:dyDescent="0.2">
      <c r="A354" s="111"/>
      <c r="B354" s="114"/>
      <c r="C354" s="73"/>
      <c r="D354" s="74"/>
      <c r="E354" s="272"/>
      <c r="F354" s="265"/>
      <c r="G354" s="266"/>
    </row>
    <row r="355" spans="1:13" ht="12.75" thickBot="1" x14ac:dyDescent="0.25">
      <c r="A355" s="111"/>
      <c r="B355" s="114"/>
      <c r="C355" s="73"/>
      <c r="D355" s="74"/>
      <c r="E355" s="272"/>
      <c r="F355" s="265"/>
      <c r="G355" s="266"/>
    </row>
    <row r="356" spans="1:13" x14ac:dyDescent="0.2">
      <c r="A356" s="219"/>
      <c r="B356" s="220" t="s">
        <v>144</v>
      </c>
      <c r="C356" s="227"/>
      <c r="D356" s="222"/>
      <c r="E356" s="337"/>
      <c r="F356" s="338"/>
      <c r="G356" s="339"/>
    </row>
    <row r="357" spans="1:13" ht="12.75" thickBot="1" x14ac:dyDescent="0.25">
      <c r="A357" s="223"/>
      <c r="B357" s="224" t="s">
        <v>195</v>
      </c>
      <c r="C357" s="228"/>
      <c r="D357" s="226"/>
      <c r="E357" s="334"/>
      <c r="F357" s="340"/>
      <c r="G357" s="341">
        <f>SUM(G299:G354)</f>
        <v>0</v>
      </c>
    </row>
    <row r="358" spans="1:13" x14ac:dyDescent="0.2">
      <c r="A358" s="56"/>
      <c r="B358" s="146"/>
      <c r="C358" s="58"/>
      <c r="D358" s="59"/>
      <c r="E358" s="262"/>
      <c r="F358" s="265"/>
      <c r="G358" s="284"/>
    </row>
    <row r="359" spans="1:13" x14ac:dyDescent="0.2">
      <c r="A359" s="370"/>
      <c r="B359" s="124" t="s">
        <v>104</v>
      </c>
      <c r="C359" s="125"/>
      <c r="D359" s="82"/>
      <c r="E359" s="262"/>
      <c r="F359" s="265"/>
      <c r="G359" s="266"/>
    </row>
    <row r="360" spans="1:13" x14ac:dyDescent="0.2">
      <c r="A360" s="370"/>
      <c r="B360" s="126" t="s">
        <v>105</v>
      </c>
      <c r="C360" s="125"/>
      <c r="D360" s="82"/>
      <c r="E360" s="262"/>
      <c r="F360" s="265"/>
      <c r="G360" s="266"/>
    </row>
    <row r="361" spans="1:13" x14ac:dyDescent="0.2">
      <c r="A361" s="56" t="s">
        <v>106</v>
      </c>
      <c r="B361" s="83" t="s">
        <v>40</v>
      </c>
      <c r="C361" s="81"/>
      <c r="D361" s="82"/>
      <c r="E361" s="262"/>
      <c r="F361" s="265"/>
      <c r="G361" s="266"/>
    </row>
    <row r="362" spans="1:13" ht="48" x14ac:dyDescent="0.2">
      <c r="A362" s="56"/>
      <c r="B362" s="102" t="s">
        <v>134</v>
      </c>
      <c r="C362" s="102"/>
      <c r="D362" s="102"/>
      <c r="E362" s="289"/>
      <c r="F362" s="289"/>
      <c r="G362" s="290"/>
    </row>
    <row r="363" spans="1:13" s="310" customFormat="1" x14ac:dyDescent="0.2">
      <c r="A363" s="315" t="s">
        <v>139</v>
      </c>
      <c r="B363" s="321" t="s">
        <v>200</v>
      </c>
      <c r="C363" s="322"/>
      <c r="D363" s="323"/>
      <c r="E363" s="262"/>
      <c r="F363" s="265"/>
      <c r="G363" s="266"/>
    </row>
    <row r="364" spans="1:13" ht="12.75" x14ac:dyDescent="0.2">
      <c r="A364" s="127"/>
      <c r="B364" s="128" t="s">
        <v>208</v>
      </c>
      <c r="C364" s="129"/>
      <c r="D364" s="130"/>
      <c r="E364" s="262"/>
      <c r="F364" s="265"/>
      <c r="G364" s="266"/>
    </row>
    <row r="365" spans="1:13" ht="12.75" x14ac:dyDescent="0.2">
      <c r="A365" s="131" t="s">
        <v>146</v>
      </c>
      <c r="B365" s="132" t="s">
        <v>65</v>
      </c>
      <c r="C365" s="133"/>
      <c r="D365" s="134"/>
      <c r="E365" s="272"/>
      <c r="F365" s="265"/>
      <c r="G365" s="266">
        <f t="shared" ref="G365:G371" si="67">(D365*E365)+(D365*F365)</f>
        <v>0</v>
      </c>
    </row>
    <row r="366" spans="1:13" ht="15.75" x14ac:dyDescent="0.2">
      <c r="A366" s="127"/>
      <c r="B366" s="135" t="s">
        <v>453</v>
      </c>
      <c r="C366" s="129" t="s">
        <v>209</v>
      </c>
      <c r="D366" s="130">
        <v>383.26</v>
      </c>
      <c r="E366" s="272"/>
      <c r="F366" s="265"/>
      <c r="G366" s="266">
        <f t="shared" si="67"/>
        <v>0</v>
      </c>
      <c r="I366" s="16">
        <f>51.46*4</f>
        <v>205.84</v>
      </c>
    </row>
    <row r="367" spans="1:13" ht="15.75" x14ac:dyDescent="0.2">
      <c r="A367" s="127"/>
      <c r="B367" s="135" t="s">
        <v>396</v>
      </c>
      <c r="C367" s="129" t="s">
        <v>209</v>
      </c>
      <c r="D367" s="130">
        <v>255</v>
      </c>
      <c r="E367" s="272"/>
      <c r="F367" s="265"/>
      <c r="G367" s="266">
        <f t="shared" si="67"/>
        <v>0</v>
      </c>
      <c r="I367" s="16">
        <f>32.2*1.85</f>
        <v>59.570000000000007</v>
      </c>
      <c r="J367" s="16">
        <f>8.5*1.35</f>
        <v>11.475000000000001</v>
      </c>
      <c r="K367" s="16">
        <f>1.65*0.8</f>
        <v>1.32</v>
      </c>
      <c r="L367" s="16">
        <f>1.65*1.5</f>
        <v>2.4749999999999996</v>
      </c>
      <c r="M367" s="16">
        <f>SUM(I367:L367)</f>
        <v>74.84</v>
      </c>
    </row>
    <row r="368" spans="1:13" ht="15.75" x14ac:dyDescent="0.2">
      <c r="A368" s="127"/>
      <c r="B368" s="135" t="s">
        <v>399</v>
      </c>
      <c r="C368" s="129" t="s">
        <v>209</v>
      </c>
      <c r="D368" s="130">
        <v>22</v>
      </c>
      <c r="E368" s="272"/>
      <c r="F368" s="265"/>
      <c r="G368" s="266">
        <f t="shared" si="67"/>
        <v>0</v>
      </c>
      <c r="I368" s="42">
        <f>7.825*3.05</f>
        <v>23.866250000000001</v>
      </c>
    </row>
    <row r="369" spans="1:19" ht="15.75" x14ac:dyDescent="0.2">
      <c r="A369" s="127"/>
      <c r="B369" s="135" t="s">
        <v>395</v>
      </c>
      <c r="C369" s="129" t="s">
        <v>209</v>
      </c>
      <c r="D369" s="130">
        <v>15</v>
      </c>
      <c r="E369" s="272"/>
      <c r="F369" s="265"/>
      <c r="G369" s="266">
        <f t="shared" ref="G369" si="68">(D369*E369)+(D369*F369)</f>
        <v>0</v>
      </c>
      <c r="I369" s="42">
        <f>2.45*1.5</f>
        <v>3.6750000000000003</v>
      </c>
    </row>
    <row r="370" spans="1:19" ht="15.75" x14ac:dyDescent="0.2">
      <c r="A370" s="127"/>
      <c r="B370" s="135" t="s">
        <v>333</v>
      </c>
      <c r="C370" s="129" t="s">
        <v>209</v>
      </c>
      <c r="D370" s="130">
        <v>37</v>
      </c>
      <c r="E370" s="272"/>
      <c r="F370" s="265"/>
      <c r="G370" s="266">
        <f>(D370*E370)+(D370*F370)</f>
        <v>0</v>
      </c>
      <c r="I370" s="26">
        <f>1.5*3</f>
        <v>4.5</v>
      </c>
    </row>
    <row r="371" spans="1:19" ht="15.75" x14ac:dyDescent="0.2">
      <c r="A371" s="127"/>
      <c r="B371" s="135" t="s">
        <v>281</v>
      </c>
      <c r="C371" s="129" t="s">
        <v>209</v>
      </c>
      <c r="D371" s="130">
        <v>20</v>
      </c>
      <c r="E371" s="272"/>
      <c r="F371" s="265"/>
      <c r="G371" s="266">
        <f t="shared" si="67"/>
        <v>0</v>
      </c>
      <c r="I371" s="26">
        <f>4.12*3</f>
        <v>12.36</v>
      </c>
      <c r="J371" s="16">
        <f>2.15*1.5</f>
        <v>3.2249999999999996</v>
      </c>
      <c r="K371" s="26">
        <f>1.5*0.15*23</f>
        <v>5.1749999999999998</v>
      </c>
      <c r="L371" s="26">
        <f>SUM(I371:K371)</f>
        <v>20.759999999999998</v>
      </c>
    </row>
    <row r="372" spans="1:19" ht="12.75" x14ac:dyDescent="0.2">
      <c r="A372" s="131" t="s">
        <v>147</v>
      </c>
      <c r="B372" s="132" t="s">
        <v>67</v>
      </c>
      <c r="C372" s="133"/>
      <c r="D372" s="134"/>
      <c r="E372" s="272"/>
      <c r="F372" s="265"/>
      <c r="G372" s="266">
        <f t="shared" ref="G372:G375" si="69">(D372*E372)+(D372*F372)</f>
        <v>0</v>
      </c>
    </row>
    <row r="373" spans="1:19" ht="15.75" x14ac:dyDescent="0.2">
      <c r="A373" s="127"/>
      <c r="B373" s="135" t="s">
        <v>454</v>
      </c>
      <c r="C373" s="129" t="s">
        <v>209</v>
      </c>
      <c r="D373" s="130">
        <v>233</v>
      </c>
      <c r="E373" s="272"/>
      <c r="F373" s="265"/>
      <c r="G373" s="266">
        <f t="shared" si="69"/>
        <v>0</v>
      </c>
      <c r="I373" s="16">
        <f>32.2*1.85</f>
        <v>59.570000000000007</v>
      </c>
      <c r="J373" s="16">
        <f>8.5*1.35</f>
        <v>11.475000000000001</v>
      </c>
      <c r="K373" s="16">
        <f>1.65*0.8</f>
        <v>1.32</v>
      </c>
      <c r="L373" s="16">
        <f>1.65*1.5</f>
        <v>2.4749999999999996</v>
      </c>
      <c r="M373" s="16">
        <f>SUM(I373:L373)</f>
        <v>74.84</v>
      </c>
    </row>
    <row r="374" spans="1:19" ht="15.75" x14ac:dyDescent="0.2">
      <c r="A374" s="127"/>
      <c r="B374" s="135" t="s">
        <v>280</v>
      </c>
      <c r="C374" s="129" t="s">
        <v>209</v>
      </c>
      <c r="D374" s="130">
        <v>7</v>
      </c>
      <c r="E374" s="272"/>
      <c r="F374" s="265"/>
      <c r="G374" s="266">
        <f t="shared" si="69"/>
        <v>0</v>
      </c>
      <c r="I374" s="42">
        <f>7.825*3.05</f>
        <v>23.866250000000001</v>
      </c>
    </row>
    <row r="375" spans="1:19" ht="15.75" x14ac:dyDescent="0.2">
      <c r="A375" s="127"/>
      <c r="B375" s="135" t="s">
        <v>398</v>
      </c>
      <c r="C375" s="129" t="s">
        <v>209</v>
      </c>
      <c r="D375" s="130">
        <v>7</v>
      </c>
      <c r="E375" s="272"/>
      <c r="F375" s="265"/>
      <c r="G375" s="266">
        <f t="shared" si="69"/>
        <v>0</v>
      </c>
      <c r="I375" s="42">
        <f>2.45*1.5</f>
        <v>3.6750000000000003</v>
      </c>
    </row>
    <row r="376" spans="1:19" ht="15.75" x14ac:dyDescent="0.2">
      <c r="A376" s="127"/>
      <c r="B376" s="135" t="s">
        <v>397</v>
      </c>
      <c r="C376" s="129" t="s">
        <v>209</v>
      </c>
      <c r="D376" s="130">
        <v>79</v>
      </c>
      <c r="E376" s="272"/>
      <c r="F376" s="265"/>
      <c r="G376" s="266">
        <f>(D376*E376)+(D376*F376)</f>
        <v>0</v>
      </c>
      <c r="I376" s="26">
        <f>1.5*3</f>
        <v>4.5</v>
      </c>
    </row>
    <row r="377" spans="1:19" ht="12" customHeight="1" x14ac:dyDescent="0.2">
      <c r="A377" s="127"/>
      <c r="B377" s="135"/>
      <c r="C377" s="129"/>
      <c r="D377" s="130"/>
      <c r="E377" s="272"/>
      <c r="F377" s="265"/>
      <c r="G377" s="266"/>
    </row>
    <row r="378" spans="1:19" s="310" customFormat="1" ht="12" customHeight="1" x14ac:dyDescent="0.2">
      <c r="A378" s="315" t="s">
        <v>140</v>
      </c>
      <c r="B378" s="321" t="s">
        <v>141</v>
      </c>
      <c r="C378" s="317"/>
      <c r="D378" s="285"/>
      <c r="E378" s="262"/>
      <c r="F378" s="265"/>
      <c r="G378" s="266"/>
    </row>
    <row r="379" spans="1:19" ht="36" x14ac:dyDescent="0.2">
      <c r="A379" s="56"/>
      <c r="B379" s="102" t="s">
        <v>225</v>
      </c>
      <c r="C379" s="102"/>
      <c r="D379" s="102"/>
      <c r="E379" s="289"/>
      <c r="F379" s="289"/>
      <c r="G379" s="290"/>
    </row>
    <row r="380" spans="1:19" ht="24" x14ac:dyDescent="0.2">
      <c r="A380" s="79"/>
      <c r="B380" s="102" t="s">
        <v>226</v>
      </c>
      <c r="C380" s="102"/>
      <c r="D380" s="102"/>
      <c r="E380" s="289"/>
      <c r="F380" s="289"/>
      <c r="G380" s="290"/>
    </row>
    <row r="381" spans="1:19" ht="39.75" customHeight="1" x14ac:dyDescent="0.2">
      <c r="A381" s="315"/>
      <c r="B381" s="289" t="s">
        <v>401</v>
      </c>
      <c r="C381" s="289"/>
      <c r="D381" s="289"/>
      <c r="E381" s="289"/>
      <c r="F381" s="289"/>
      <c r="G381" s="290"/>
    </row>
    <row r="382" spans="1:19" s="43" customFormat="1" ht="15" customHeight="1" x14ac:dyDescent="0.2">
      <c r="A382" s="131" t="s">
        <v>146</v>
      </c>
      <c r="B382" s="132" t="s">
        <v>65</v>
      </c>
      <c r="C382" s="133"/>
      <c r="D382" s="134"/>
      <c r="E382" s="262"/>
      <c r="F382" s="265"/>
      <c r="G382" s="266"/>
      <c r="H382" s="16"/>
      <c r="I382" s="16"/>
      <c r="J382" s="16"/>
      <c r="K382" s="16"/>
      <c r="L382" s="16"/>
      <c r="M382" s="16"/>
      <c r="N382" s="16"/>
      <c r="O382" s="16"/>
      <c r="P382" s="16"/>
      <c r="Q382" s="16"/>
      <c r="R382" s="16"/>
      <c r="S382" s="16"/>
    </row>
    <row r="383" spans="1:19" ht="12.75" x14ac:dyDescent="0.2">
      <c r="A383" s="127" t="s">
        <v>227</v>
      </c>
      <c r="B383" s="137" t="s">
        <v>223</v>
      </c>
      <c r="C383" s="129"/>
      <c r="D383" s="130"/>
      <c r="E383" s="272"/>
      <c r="F383" s="265"/>
      <c r="G383" s="266"/>
      <c r="I383" s="51"/>
      <c r="J383" s="22"/>
      <c r="K383" s="20"/>
    </row>
    <row r="384" spans="1:19" ht="12" customHeight="1" x14ac:dyDescent="0.2">
      <c r="A384" s="127" t="s">
        <v>162</v>
      </c>
      <c r="B384" s="135" t="s">
        <v>455</v>
      </c>
      <c r="C384" s="129" t="s">
        <v>209</v>
      </c>
      <c r="D384" s="130">
        <v>15</v>
      </c>
      <c r="E384" s="272"/>
      <c r="F384" s="265"/>
      <c r="G384" s="266">
        <f t="shared" ref="G384:G385" si="70">(D384*E384)+(D384*F384)</f>
        <v>0</v>
      </c>
      <c r="I384" s="51"/>
      <c r="J384" s="22"/>
      <c r="K384" s="20"/>
    </row>
    <row r="385" spans="1:16" ht="12" customHeight="1" x14ac:dyDescent="0.2">
      <c r="A385" s="127" t="s">
        <v>163</v>
      </c>
      <c r="B385" s="135" t="s">
        <v>456</v>
      </c>
      <c r="C385" s="129" t="s">
        <v>209</v>
      </c>
      <c r="D385" s="130">
        <v>22</v>
      </c>
      <c r="E385" s="272"/>
      <c r="F385" s="265"/>
      <c r="G385" s="266">
        <f t="shared" si="70"/>
        <v>0</v>
      </c>
      <c r="I385" s="51"/>
      <c r="J385" s="22"/>
      <c r="K385" s="20"/>
    </row>
    <row r="386" spans="1:16" ht="12" customHeight="1" x14ac:dyDescent="0.2">
      <c r="A386" s="127" t="s">
        <v>173</v>
      </c>
      <c r="B386" s="135" t="s">
        <v>333</v>
      </c>
      <c r="C386" s="129" t="s">
        <v>209</v>
      </c>
      <c r="D386" s="130">
        <v>37</v>
      </c>
      <c r="E386" s="272"/>
      <c r="F386" s="265"/>
      <c r="G386" s="266">
        <f t="shared" ref="G386" si="71">(D386*E386)+(D386*F386)</f>
        <v>0</v>
      </c>
      <c r="I386" s="51"/>
      <c r="J386" s="22"/>
      <c r="K386" s="20"/>
    </row>
    <row r="387" spans="1:16" ht="12" customHeight="1" x14ac:dyDescent="0.2">
      <c r="A387" s="127"/>
      <c r="B387" s="135"/>
      <c r="C387" s="129"/>
      <c r="D387" s="130"/>
      <c r="E387" s="272"/>
      <c r="F387" s="265"/>
      <c r="G387" s="266"/>
    </row>
    <row r="388" spans="1:16" ht="12.75" x14ac:dyDescent="0.2">
      <c r="A388" s="127" t="s">
        <v>228</v>
      </c>
      <c r="B388" s="137" t="s">
        <v>224</v>
      </c>
      <c r="C388" s="129"/>
      <c r="D388" s="130"/>
      <c r="E388" s="272"/>
      <c r="F388" s="265"/>
      <c r="G388" s="266"/>
      <c r="I388" s="51"/>
      <c r="J388" s="22"/>
      <c r="K388" s="20"/>
      <c r="L388" s="32"/>
      <c r="M388" s="24"/>
      <c r="N388" s="24"/>
      <c r="O388" s="24"/>
      <c r="P388" s="25"/>
    </row>
    <row r="389" spans="1:16" ht="15.75" x14ac:dyDescent="0.2">
      <c r="A389" s="127"/>
      <c r="B389" s="135" t="s">
        <v>332</v>
      </c>
      <c r="C389" s="129" t="s">
        <v>209</v>
      </c>
      <c r="D389" s="130">
        <v>177</v>
      </c>
      <c r="E389" s="272"/>
      <c r="F389" s="265"/>
      <c r="G389" s="266">
        <f t="shared" ref="G389" si="72">(D389*E389)+(D389*F389)</f>
        <v>0</v>
      </c>
      <c r="I389" s="26">
        <f>1.5*6+1*6</f>
        <v>15</v>
      </c>
      <c r="J389" s="42">
        <f>I389*3</f>
        <v>45</v>
      </c>
      <c r="K389" s="42">
        <f>0.6*2*3</f>
        <v>3.5999999999999996</v>
      </c>
      <c r="L389" s="42">
        <f>J389-K389</f>
        <v>41.4</v>
      </c>
      <c r="P389" s="42"/>
    </row>
    <row r="390" spans="1:16" ht="12.75" x14ac:dyDescent="0.2">
      <c r="A390" s="131" t="s">
        <v>147</v>
      </c>
      <c r="B390" s="132" t="s">
        <v>67</v>
      </c>
      <c r="C390" s="133"/>
      <c r="D390" s="134"/>
      <c r="E390" s="262"/>
      <c r="F390" s="265"/>
      <c r="G390" s="266"/>
    </row>
    <row r="391" spans="1:16" ht="12" customHeight="1" x14ac:dyDescent="0.2">
      <c r="A391" s="127" t="s">
        <v>227</v>
      </c>
      <c r="B391" s="137" t="s">
        <v>223</v>
      </c>
      <c r="C391" s="129"/>
      <c r="D391" s="130"/>
      <c r="E391" s="272"/>
      <c r="F391" s="265"/>
      <c r="G391" s="266"/>
    </row>
    <row r="392" spans="1:16" ht="12" customHeight="1" x14ac:dyDescent="0.2">
      <c r="A392" s="127" t="s">
        <v>173</v>
      </c>
      <c r="B392" s="135" t="s">
        <v>402</v>
      </c>
      <c r="C392" s="129" t="s">
        <v>209</v>
      </c>
      <c r="D392" s="130">
        <v>7</v>
      </c>
      <c r="E392" s="272"/>
      <c r="F392" s="265"/>
      <c r="G392" s="266">
        <f t="shared" ref="G392:G393" si="73">(D392*E392)+(D392*F392)</f>
        <v>0</v>
      </c>
      <c r="I392" s="51"/>
      <c r="J392" s="22"/>
      <c r="K392" s="20"/>
    </row>
    <row r="393" spans="1:16" ht="12" customHeight="1" x14ac:dyDescent="0.2">
      <c r="A393" s="127" t="s">
        <v>174</v>
      </c>
      <c r="B393" s="135" t="s">
        <v>280</v>
      </c>
      <c r="C393" s="129" t="s">
        <v>209</v>
      </c>
      <c r="D393" s="130">
        <v>7</v>
      </c>
      <c r="E393" s="272"/>
      <c r="F393" s="265"/>
      <c r="G393" s="266">
        <f t="shared" si="73"/>
        <v>0</v>
      </c>
      <c r="I393" s="51"/>
      <c r="J393" s="22"/>
      <c r="K393" s="20"/>
    </row>
    <row r="394" spans="1:16" ht="12.75" x14ac:dyDescent="0.2">
      <c r="A394" s="127"/>
      <c r="B394" s="137"/>
      <c r="C394" s="129"/>
      <c r="D394" s="130"/>
      <c r="E394" s="272"/>
      <c r="F394" s="265"/>
      <c r="G394" s="266"/>
    </row>
    <row r="395" spans="1:16" x14ac:dyDescent="0.2">
      <c r="A395" s="371"/>
      <c r="B395" s="138"/>
      <c r="C395" s="110"/>
      <c r="D395" s="59"/>
      <c r="E395" s="272"/>
      <c r="F395" s="265"/>
      <c r="G395" s="266"/>
    </row>
    <row r="396" spans="1:16" s="310" customFormat="1" x14ac:dyDescent="0.2">
      <c r="A396" s="315" t="s">
        <v>165</v>
      </c>
      <c r="B396" s="321" t="s">
        <v>210</v>
      </c>
      <c r="C396" s="317"/>
      <c r="D396" s="285"/>
      <c r="E396" s="262"/>
      <c r="F396" s="265"/>
      <c r="G396" s="266"/>
    </row>
    <row r="397" spans="1:16" ht="24" x14ac:dyDescent="0.2">
      <c r="A397" s="139" t="s">
        <v>162</v>
      </c>
      <c r="B397" s="138" t="s">
        <v>403</v>
      </c>
      <c r="C397" s="110" t="s">
        <v>14</v>
      </c>
      <c r="D397" s="59">
        <v>1</v>
      </c>
      <c r="E397" s="272"/>
      <c r="F397" s="265"/>
      <c r="G397" s="266">
        <f>(D397*E397)+(D397*F397)</f>
        <v>0</v>
      </c>
      <c r="J397" s="42"/>
      <c r="K397" s="42"/>
      <c r="L397" s="42"/>
      <c r="M397" s="42"/>
    </row>
    <row r="398" spans="1:16" x14ac:dyDescent="0.2">
      <c r="A398" s="371"/>
      <c r="B398" s="138"/>
      <c r="C398" s="110"/>
      <c r="D398" s="59"/>
      <c r="E398" s="272"/>
      <c r="F398" s="265"/>
      <c r="G398" s="266"/>
    </row>
    <row r="399" spans="1:16" x14ac:dyDescent="0.2">
      <c r="A399" s="371"/>
      <c r="B399" s="138"/>
      <c r="C399" s="110"/>
      <c r="D399" s="59"/>
      <c r="E399" s="272"/>
      <c r="F399" s="265"/>
      <c r="G399" s="266"/>
    </row>
    <row r="400" spans="1:16" s="310" customFormat="1" ht="12" customHeight="1" x14ac:dyDescent="0.2">
      <c r="A400" s="315" t="s">
        <v>150</v>
      </c>
      <c r="B400" s="321" t="s">
        <v>457</v>
      </c>
      <c r="C400" s="317"/>
      <c r="D400" s="285"/>
      <c r="E400" s="262"/>
      <c r="F400" s="265"/>
      <c r="G400" s="266"/>
    </row>
    <row r="401" spans="1:19" ht="24" x14ac:dyDescent="0.2">
      <c r="A401" s="56"/>
      <c r="B401" s="102" t="s">
        <v>461</v>
      </c>
      <c r="C401" s="102"/>
      <c r="D401" s="102"/>
      <c r="E401" s="289"/>
      <c r="F401" s="289"/>
      <c r="G401" s="290"/>
    </row>
    <row r="402" spans="1:19" s="43" customFormat="1" ht="15" customHeight="1" x14ac:dyDescent="0.2">
      <c r="A402" s="131" t="s">
        <v>146</v>
      </c>
      <c r="B402" s="132" t="s">
        <v>65</v>
      </c>
      <c r="C402" s="133"/>
      <c r="D402" s="134"/>
      <c r="E402" s="262"/>
      <c r="F402" s="265"/>
      <c r="G402" s="266"/>
      <c r="H402" s="16"/>
      <c r="I402" s="16"/>
      <c r="J402" s="16"/>
      <c r="K402" s="16"/>
      <c r="L402" s="16"/>
      <c r="M402" s="16"/>
      <c r="N402" s="16"/>
      <c r="O402" s="16"/>
      <c r="P402" s="16"/>
      <c r="Q402" s="16"/>
      <c r="R402" s="16"/>
      <c r="S402" s="16"/>
    </row>
    <row r="403" spans="1:19" ht="12.75" x14ac:dyDescent="0.2">
      <c r="A403" s="127" t="s">
        <v>227</v>
      </c>
      <c r="B403" s="137" t="s">
        <v>223</v>
      </c>
      <c r="C403" s="129"/>
      <c r="D403" s="130"/>
      <c r="E403" s="272"/>
      <c r="F403" s="265"/>
      <c r="G403" s="266"/>
      <c r="I403" s="51"/>
      <c r="J403" s="22"/>
      <c r="K403" s="20"/>
    </row>
    <row r="404" spans="1:19" ht="25.5" x14ac:dyDescent="0.2">
      <c r="A404" s="127" t="s">
        <v>162</v>
      </c>
      <c r="B404" s="135" t="s">
        <v>460</v>
      </c>
      <c r="C404" s="129" t="s">
        <v>209</v>
      </c>
      <c r="D404" s="130">
        <v>383.26</v>
      </c>
      <c r="E404" s="272"/>
      <c r="F404" s="265"/>
      <c r="G404" s="266">
        <f t="shared" ref="G404" si="74">(D404*E404)+(D404*F404)</f>
        <v>0</v>
      </c>
      <c r="I404" s="51"/>
      <c r="J404" s="22"/>
      <c r="K404" s="20"/>
    </row>
    <row r="405" spans="1:19" ht="12" customHeight="1" x14ac:dyDescent="0.2">
      <c r="A405" s="127"/>
      <c r="B405" s="135"/>
      <c r="C405" s="129"/>
      <c r="D405" s="130"/>
      <c r="E405" s="272"/>
      <c r="F405" s="265"/>
      <c r="G405" s="266"/>
    </row>
    <row r="406" spans="1:19" ht="12.75" x14ac:dyDescent="0.2">
      <c r="A406" s="131" t="s">
        <v>147</v>
      </c>
      <c r="B406" s="132" t="s">
        <v>67</v>
      </c>
      <c r="C406" s="133"/>
      <c r="D406" s="134"/>
      <c r="E406" s="262"/>
      <c r="F406" s="265"/>
      <c r="G406" s="266"/>
    </row>
    <row r="407" spans="1:19" ht="12" customHeight="1" x14ac:dyDescent="0.2">
      <c r="A407" s="127" t="s">
        <v>227</v>
      </c>
      <c r="B407" s="137" t="s">
        <v>223</v>
      </c>
      <c r="C407" s="129"/>
      <c r="D407" s="130"/>
      <c r="E407" s="272"/>
      <c r="F407" s="265"/>
      <c r="G407" s="266"/>
    </row>
    <row r="408" spans="1:19" ht="12" customHeight="1" x14ac:dyDescent="0.2">
      <c r="A408" s="127" t="s">
        <v>162</v>
      </c>
      <c r="B408" s="135" t="s">
        <v>459</v>
      </c>
      <c r="C408" s="129" t="s">
        <v>209</v>
      </c>
      <c r="D408" s="130">
        <v>79</v>
      </c>
      <c r="E408" s="272"/>
      <c r="F408" s="265"/>
      <c r="G408" s="266">
        <f t="shared" ref="G408" si="75">(D408*E408)+(D408*F408)</f>
        <v>0</v>
      </c>
      <c r="I408" s="51"/>
      <c r="J408" s="22"/>
      <c r="K408" s="20"/>
    </row>
    <row r="409" spans="1:19" x14ac:dyDescent="0.2">
      <c r="A409" s="371"/>
      <c r="B409" s="138"/>
      <c r="C409" s="110"/>
      <c r="D409" s="59"/>
      <c r="E409" s="272"/>
      <c r="F409" s="265"/>
      <c r="G409" s="266"/>
    </row>
    <row r="410" spans="1:19" x14ac:dyDescent="0.2">
      <c r="A410" s="371"/>
      <c r="B410" s="138"/>
      <c r="C410" s="110"/>
      <c r="D410" s="59"/>
      <c r="E410" s="272"/>
      <c r="F410" s="265"/>
      <c r="G410" s="266"/>
    </row>
    <row r="411" spans="1:19" x14ac:dyDescent="0.2">
      <c r="A411" s="371"/>
      <c r="B411" s="138"/>
      <c r="C411" s="110"/>
      <c r="D411" s="59"/>
      <c r="E411" s="272"/>
      <c r="F411" s="265"/>
      <c r="G411" s="266"/>
    </row>
    <row r="412" spans="1:19" x14ac:dyDescent="0.2">
      <c r="A412" s="371"/>
      <c r="B412" s="138"/>
      <c r="C412" s="110"/>
      <c r="D412" s="59"/>
      <c r="E412" s="272"/>
      <c r="F412" s="265"/>
      <c r="G412" s="266"/>
    </row>
    <row r="413" spans="1:19" x14ac:dyDescent="0.2">
      <c r="A413" s="371"/>
      <c r="B413" s="138"/>
      <c r="C413" s="110"/>
      <c r="D413" s="59"/>
      <c r="E413" s="272"/>
      <c r="F413" s="265"/>
      <c r="G413" s="266"/>
    </row>
    <row r="414" spans="1:19" ht="12" customHeight="1" x14ac:dyDescent="0.2">
      <c r="A414" s="371"/>
      <c r="B414" s="138"/>
      <c r="C414" s="110"/>
      <c r="D414" s="59"/>
      <c r="E414" s="272"/>
      <c r="F414" s="265"/>
      <c r="G414" s="266"/>
    </row>
    <row r="415" spans="1:19" ht="12" customHeight="1" x14ac:dyDescent="0.2">
      <c r="A415" s="371"/>
      <c r="B415" s="138"/>
      <c r="C415" s="110"/>
      <c r="D415" s="59"/>
      <c r="E415" s="272"/>
      <c r="F415" s="265"/>
      <c r="G415" s="266"/>
    </row>
    <row r="416" spans="1:19" ht="12" customHeight="1" x14ac:dyDescent="0.2">
      <c r="A416" s="371"/>
      <c r="B416" s="138"/>
      <c r="C416" s="110"/>
      <c r="D416" s="59"/>
      <c r="E416" s="272"/>
      <c r="F416" s="265"/>
      <c r="G416" s="266"/>
    </row>
    <row r="417" spans="1:19" ht="12" customHeight="1" thickBot="1" x14ac:dyDescent="0.25">
      <c r="A417" s="371"/>
      <c r="B417" s="138"/>
      <c r="C417" s="110"/>
      <c r="D417" s="59"/>
      <c r="E417" s="272"/>
      <c r="F417" s="265"/>
      <c r="G417" s="266"/>
    </row>
    <row r="418" spans="1:19" ht="12" customHeight="1" x14ac:dyDescent="0.2">
      <c r="A418" s="219"/>
      <c r="B418" s="220" t="s">
        <v>142</v>
      </c>
      <c r="C418" s="227"/>
      <c r="D418" s="222"/>
      <c r="E418" s="337"/>
      <c r="F418" s="338"/>
      <c r="G418" s="339"/>
    </row>
    <row r="419" spans="1:19" ht="12" customHeight="1" thickBot="1" x14ac:dyDescent="0.25">
      <c r="A419" s="223"/>
      <c r="B419" s="224" t="s">
        <v>143</v>
      </c>
      <c r="C419" s="228"/>
      <c r="D419" s="226"/>
      <c r="E419" s="334"/>
      <c r="F419" s="340"/>
      <c r="G419" s="341">
        <f>SUM(G365:G418)</f>
        <v>0</v>
      </c>
    </row>
    <row r="420" spans="1:19" x14ac:dyDescent="0.2">
      <c r="A420" s="147"/>
      <c r="B420" s="234"/>
      <c r="C420" s="138"/>
      <c r="D420" s="138"/>
      <c r="E420" s="272"/>
      <c r="F420" s="265"/>
      <c r="G420" s="266"/>
    </row>
    <row r="421" spans="1:19" x14ac:dyDescent="0.2">
      <c r="A421" s="147"/>
      <c r="B421" s="148" t="s">
        <v>185</v>
      </c>
      <c r="C421" s="138"/>
      <c r="D421" s="138"/>
      <c r="E421" s="272"/>
      <c r="F421" s="265"/>
      <c r="G421" s="266"/>
    </row>
    <row r="422" spans="1:19" x14ac:dyDescent="0.2">
      <c r="A422" s="147"/>
      <c r="B422" s="149" t="s">
        <v>107</v>
      </c>
      <c r="C422" s="138"/>
      <c r="D422" s="138"/>
      <c r="E422" s="272"/>
      <c r="F422" s="265"/>
      <c r="G422" s="266"/>
    </row>
    <row r="423" spans="1:19" x14ac:dyDescent="0.2">
      <c r="A423" s="147" t="s">
        <v>166</v>
      </c>
      <c r="B423" s="150" t="s">
        <v>40</v>
      </c>
      <c r="C423" s="138"/>
      <c r="D423" s="138"/>
      <c r="E423" s="272"/>
      <c r="F423" s="265"/>
      <c r="G423" s="266"/>
    </row>
    <row r="424" spans="1:19" ht="36" x14ac:dyDescent="0.2">
      <c r="A424" s="147"/>
      <c r="B424" s="138" t="s">
        <v>253</v>
      </c>
      <c r="C424" s="138"/>
      <c r="D424" s="138"/>
      <c r="E424" s="272"/>
      <c r="F424" s="265"/>
      <c r="G424" s="266"/>
    </row>
    <row r="425" spans="1:19" ht="48" x14ac:dyDescent="0.2">
      <c r="A425" s="147"/>
      <c r="B425" s="138" t="s">
        <v>252</v>
      </c>
      <c r="C425" s="138"/>
      <c r="D425" s="138"/>
      <c r="E425" s="272"/>
      <c r="F425" s="265"/>
      <c r="G425" s="266"/>
    </row>
    <row r="426" spans="1:19" ht="30.75" customHeight="1" x14ac:dyDescent="0.2">
      <c r="A426" s="147"/>
      <c r="B426" s="138" t="s">
        <v>346</v>
      </c>
      <c r="C426" s="138"/>
      <c r="D426" s="138"/>
      <c r="E426" s="272"/>
      <c r="F426" s="265"/>
      <c r="G426" s="266"/>
    </row>
    <row r="427" spans="1:19" ht="27" customHeight="1" x14ac:dyDescent="0.2">
      <c r="A427" s="147"/>
      <c r="B427" s="138" t="s">
        <v>251</v>
      </c>
      <c r="C427" s="138"/>
      <c r="D427" s="138"/>
      <c r="E427" s="272"/>
      <c r="F427" s="265"/>
      <c r="G427" s="266"/>
    </row>
    <row r="428" spans="1:19" ht="24" x14ac:dyDescent="0.2">
      <c r="A428" s="56"/>
      <c r="B428" s="138" t="s">
        <v>207</v>
      </c>
      <c r="C428" s="138"/>
      <c r="D428" s="138"/>
      <c r="E428" s="272"/>
      <c r="F428" s="265"/>
      <c r="G428" s="266"/>
    </row>
    <row r="429" spans="1:19" ht="14.25" customHeight="1" x14ac:dyDescent="0.2">
      <c r="A429" s="147"/>
      <c r="B429" s="138"/>
      <c r="C429" s="138"/>
      <c r="D429" s="138"/>
      <c r="E429" s="272"/>
      <c r="F429" s="265"/>
      <c r="G429" s="266"/>
    </row>
    <row r="430" spans="1:19" x14ac:dyDescent="0.2">
      <c r="A430" s="372" t="s">
        <v>146</v>
      </c>
      <c r="B430" s="119" t="s">
        <v>109</v>
      </c>
      <c r="C430" s="120"/>
      <c r="D430" s="121"/>
      <c r="E430" s="272"/>
      <c r="F430" s="265"/>
      <c r="G430" s="266"/>
    </row>
    <row r="431" spans="1:19" s="310" customFormat="1" x14ac:dyDescent="0.2">
      <c r="A431" s="367"/>
      <c r="B431" s="316" t="s">
        <v>310</v>
      </c>
      <c r="C431" s="317"/>
      <c r="D431" s="285"/>
      <c r="E431" s="262"/>
      <c r="F431" s="265"/>
      <c r="G431" s="266"/>
    </row>
    <row r="432" spans="1:19" x14ac:dyDescent="0.2">
      <c r="A432" s="63" t="s">
        <v>162</v>
      </c>
      <c r="B432" s="122" t="s">
        <v>388</v>
      </c>
      <c r="C432" s="123" t="s">
        <v>110</v>
      </c>
      <c r="D432" s="59">
        <v>1</v>
      </c>
      <c r="E432" s="262"/>
      <c r="F432" s="274"/>
      <c r="G432" s="275">
        <f t="shared" ref="G432:G435" si="76">(D432*E432)+(D432*F432)</f>
        <v>0</v>
      </c>
      <c r="H432" s="43"/>
      <c r="I432" s="52">
        <f>0.95*2.83</f>
        <v>2.6884999999999999</v>
      </c>
      <c r="J432" s="50">
        <f>I432*D432</f>
        <v>2.6884999999999999</v>
      </c>
      <c r="K432" s="52" t="e">
        <f>J432+J436+#REF!+#REF!</f>
        <v>#REF!</v>
      </c>
      <c r="L432" s="43"/>
      <c r="M432" s="43"/>
      <c r="N432" s="43"/>
      <c r="O432" s="43"/>
      <c r="P432" s="43"/>
      <c r="Q432" s="43"/>
      <c r="R432" s="43"/>
      <c r="S432" s="43"/>
    </row>
    <row r="433" spans="1:19" x14ac:dyDescent="0.2">
      <c r="A433" s="63" t="s">
        <v>163</v>
      </c>
      <c r="B433" s="122" t="s">
        <v>389</v>
      </c>
      <c r="C433" s="123" t="s">
        <v>110</v>
      </c>
      <c r="D433" s="59">
        <v>8</v>
      </c>
      <c r="E433" s="262"/>
      <c r="F433" s="274"/>
      <c r="G433" s="275">
        <f t="shared" si="76"/>
        <v>0</v>
      </c>
      <c r="H433" s="43"/>
      <c r="I433" s="52">
        <f>0.95*2.15</f>
        <v>2.0425</v>
      </c>
      <c r="J433" s="50">
        <f>I433*D433</f>
        <v>16.34</v>
      </c>
      <c r="K433" s="52"/>
      <c r="L433" s="43"/>
      <c r="M433" s="43"/>
      <c r="N433" s="43"/>
      <c r="O433" s="43"/>
      <c r="P433" s="43"/>
      <c r="Q433" s="43"/>
      <c r="R433" s="43"/>
      <c r="S433" s="43"/>
    </row>
    <row r="434" spans="1:19" x14ac:dyDescent="0.2">
      <c r="A434" s="63" t="s">
        <v>173</v>
      </c>
      <c r="B434" s="122" t="s">
        <v>393</v>
      </c>
      <c r="C434" s="123" t="s">
        <v>110</v>
      </c>
      <c r="D434" s="59">
        <v>3</v>
      </c>
      <c r="E434" s="262"/>
      <c r="F434" s="274"/>
      <c r="G434" s="275">
        <f t="shared" si="76"/>
        <v>0</v>
      </c>
      <c r="H434" s="43"/>
      <c r="I434" s="50">
        <f>0.78*2</f>
        <v>1.56</v>
      </c>
      <c r="J434" s="50">
        <f>I434*D434</f>
        <v>4.68</v>
      </c>
      <c r="K434" s="52"/>
      <c r="L434" s="43"/>
      <c r="M434" s="43"/>
      <c r="N434" s="43"/>
      <c r="O434" s="43"/>
      <c r="P434" s="43"/>
      <c r="Q434" s="43"/>
      <c r="R434" s="43"/>
      <c r="S434" s="43"/>
    </row>
    <row r="435" spans="1:19" x14ac:dyDescent="0.2">
      <c r="A435" s="63" t="s">
        <v>174</v>
      </c>
      <c r="B435" s="122" t="s">
        <v>390</v>
      </c>
      <c r="C435" s="123" t="s">
        <v>110</v>
      </c>
      <c r="D435" s="59">
        <v>1</v>
      </c>
      <c r="E435" s="262"/>
      <c r="F435" s="265"/>
      <c r="G435" s="275">
        <f t="shared" si="76"/>
        <v>0</v>
      </c>
      <c r="I435" s="26"/>
      <c r="J435" s="50"/>
      <c r="K435" s="42"/>
      <c r="L435" s="42">
        <f>J434+I433</f>
        <v>6.7225000000000001</v>
      </c>
    </row>
    <row r="436" spans="1:19" x14ac:dyDescent="0.2">
      <c r="A436" s="63" t="s">
        <v>175</v>
      </c>
      <c r="B436" s="122" t="s">
        <v>391</v>
      </c>
      <c r="C436" s="123" t="s">
        <v>110</v>
      </c>
      <c r="D436" s="59">
        <v>7</v>
      </c>
      <c r="E436" s="262"/>
      <c r="F436" s="274"/>
      <c r="G436" s="275">
        <f t="shared" ref="G436" si="77">(D436*E436)+(D436*F436)</f>
        <v>0</v>
      </c>
      <c r="I436" s="26">
        <f>2.45*1.69</f>
        <v>4.1405000000000003</v>
      </c>
      <c r="J436" s="50">
        <f t="shared" ref="J436:J439" si="78">I436*D436</f>
        <v>28.983500000000003</v>
      </c>
      <c r="K436" s="42"/>
    </row>
    <row r="437" spans="1:19" x14ac:dyDescent="0.2">
      <c r="A437" s="63" t="s">
        <v>176</v>
      </c>
      <c r="B437" s="122" t="s">
        <v>392</v>
      </c>
      <c r="C437" s="123" t="s">
        <v>110</v>
      </c>
      <c r="D437" s="59">
        <v>7</v>
      </c>
      <c r="E437" s="262"/>
      <c r="F437" s="274"/>
      <c r="G437" s="275">
        <f t="shared" ref="G437:G438" si="79">(D437*E437)+(D437*F437)</f>
        <v>0</v>
      </c>
      <c r="I437" s="26">
        <f>2.45*1.69</f>
        <v>4.1405000000000003</v>
      </c>
      <c r="J437" s="50">
        <f t="shared" si="78"/>
        <v>28.983500000000003</v>
      </c>
      <c r="K437" s="42"/>
    </row>
    <row r="438" spans="1:19" x14ac:dyDescent="0.2">
      <c r="A438" s="63" t="s">
        <v>177</v>
      </c>
      <c r="B438" s="122" t="s">
        <v>462</v>
      </c>
      <c r="C438" s="123" t="s">
        <v>110</v>
      </c>
      <c r="D438" s="59">
        <v>5</v>
      </c>
      <c r="E438" s="262"/>
      <c r="F438" s="274"/>
      <c r="G438" s="275">
        <f t="shared" si="79"/>
        <v>0</v>
      </c>
      <c r="I438" s="26">
        <f>1.575*2</f>
        <v>3.15</v>
      </c>
      <c r="J438" s="50">
        <f t="shared" si="78"/>
        <v>15.75</v>
      </c>
      <c r="K438" s="42"/>
    </row>
    <row r="439" spans="1:19" x14ac:dyDescent="0.2">
      <c r="A439" s="63" t="s">
        <v>178</v>
      </c>
      <c r="B439" s="122" t="s">
        <v>463</v>
      </c>
      <c r="C439" s="123" t="s">
        <v>110</v>
      </c>
      <c r="D439" s="59">
        <v>3</v>
      </c>
      <c r="E439" s="262"/>
      <c r="F439" s="274"/>
      <c r="G439" s="275">
        <f t="shared" ref="G439" si="80">(D439*E439)+(D439*F439)</f>
        <v>0</v>
      </c>
      <c r="I439" s="26">
        <f>0.7*0.55</f>
        <v>0.38500000000000001</v>
      </c>
      <c r="J439" s="50">
        <f t="shared" si="78"/>
        <v>1.155</v>
      </c>
      <c r="K439" s="42"/>
    </row>
    <row r="440" spans="1:19" x14ac:dyDescent="0.2">
      <c r="A440" s="372" t="s">
        <v>147</v>
      </c>
      <c r="B440" s="119" t="s">
        <v>67</v>
      </c>
      <c r="C440" s="120"/>
      <c r="D440" s="121"/>
      <c r="E440" s="262"/>
      <c r="F440" s="265"/>
      <c r="G440" s="266"/>
      <c r="J440" s="26"/>
      <c r="K440" s="26"/>
    </row>
    <row r="441" spans="1:19" s="310" customFormat="1" x14ac:dyDescent="0.2">
      <c r="A441" s="367"/>
      <c r="B441" s="316" t="s">
        <v>310</v>
      </c>
      <c r="C441" s="317"/>
      <c r="D441" s="285"/>
      <c r="E441" s="262"/>
      <c r="F441" s="265"/>
      <c r="G441" s="266"/>
      <c r="K441" s="320"/>
    </row>
    <row r="442" spans="1:19" x14ac:dyDescent="0.2">
      <c r="A442" s="63" t="s">
        <v>162</v>
      </c>
      <c r="B442" s="122" t="s">
        <v>464</v>
      </c>
      <c r="C442" s="123" t="s">
        <v>110</v>
      </c>
      <c r="D442" s="59">
        <v>1</v>
      </c>
      <c r="E442" s="262"/>
      <c r="F442" s="274"/>
      <c r="G442" s="275">
        <f t="shared" ref="G442:G445" si="81">(D442*E442)+(D442*F442)</f>
        <v>0</v>
      </c>
      <c r="H442" s="43"/>
      <c r="I442" s="52">
        <f>0.95*2.83</f>
        <v>2.6884999999999999</v>
      </c>
      <c r="J442" s="50">
        <f>I442*D442</f>
        <v>2.6884999999999999</v>
      </c>
      <c r="K442" s="52" t="e">
        <f>J442+J446+#REF!+#REF!</f>
        <v>#REF!</v>
      </c>
      <c r="L442" s="43"/>
      <c r="M442" s="43"/>
      <c r="N442" s="43"/>
      <c r="O442" s="43"/>
      <c r="P442" s="43"/>
      <c r="Q442" s="43"/>
      <c r="R442" s="43"/>
      <c r="S442" s="43"/>
    </row>
    <row r="443" spans="1:19" x14ac:dyDescent="0.2">
      <c r="A443" s="63" t="s">
        <v>163</v>
      </c>
      <c r="B443" s="122" t="s">
        <v>465</v>
      </c>
      <c r="C443" s="123" t="s">
        <v>110</v>
      </c>
      <c r="D443" s="59">
        <v>6</v>
      </c>
      <c r="E443" s="262"/>
      <c r="F443" s="274"/>
      <c r="G443" s="275">
        <f t="shared" si="81"/>
        <v>0</v>
      </c>
      <c r="H443" s="43"/>
      <c r="I443" s="52">
        <f>0.95*2.15</f>
        <v>2.0425</v>
      </c>
      <c r="J443" s="50">
        <f>I443*D443</f>
        <v>12.254999999999999</v>
      </c>
      <c r="K443" s="52"/>
      <c r="L443" s="43"/>
      <c r="M443" s="43"/>
      <c r="N443" s="43"/>
      <c r="O443" s="43"/>
      <c r="P443" s="43"/>
      <c r="Q443" s="43"/>
      <c r="R443" s="43"/>
      <c r="S443" s="43"/>
    </row>
    <row r="444" spans="1:19" x14ac:dyDescent="0.2">
      <c r="A444" s="63" t="s">
        <v>173</v>
      </c>
      <c r="B444" s="122" t="s">
        <v>466</v>
      </c>
      <c r="C444" s="123" t="s">
        <v>110</v>
      </c>
      <c r="D444" s="59">
        <v>2</v>
      </c>
      <c r="E444" s="262"/>
      <c r="F444" s="274"/>
      <c r="G444" s="275">
        <f t="shared" si="81"/>
        <v>0</v>
      </c>
      <c r="H444" s="43"/>
      <c r="I444" s="50">
        <f>0.78*2</f>
        <v>1.56</v>
      </c>
      <c r="J444" s="50">
        <f>I444*D444</f>
        <v>3.12</v>
      </c>
      <c r="K444" s="52"/>
      <c r="L444" s="43"/>
      <c r="M444" s="43"/>
      <c r="N444" s="43"/>
      <c r="O444" s="43"/>
      <c r="P444" s="43"/>
      <c r="Q444" s="43"/>
      <c r="R444" s="43"/>
      <c r="S444" s="43"/>
    </row>
    <row r="445" spans="1:19" x14ac:dyDescent="0.2">
      <c r="A445" s="63" t="s">
        <v>174</v>
      </c>
      <c r="B445" s="122" t="s">
        <v>462</v>
      </c>
      <c r="C445" s="123" t="s">
        <v>110</v>
      </c>
      <c r="D445" s="59">
        <v>5</v>
      </c>
      <c r="E445" s="262"/>
      <c r="F445" s="265"/>
      <c r="G445" s="275">
        <f t="shared" si="81"/>
        <v>0</v>
      </c>
      <c r="I445" s="26"/>
      <c r="J445" s="50"/>
      <c r="K445" s="42"/>
      <c r="L445" s="42">
        <f>J444+I443</f>
        <v>5.1624999999999996</v>
      </c>
    </row>
    <row r="446" spans="1:19" x14ac:dyDescent="0.2">
      <c r="A446" s="63" t="s">
        <v>175</v>
      </c>
      <c r="B446" s="122" t="s">
        <v>467</v>
      </c>
      <c r="C446" s="123" t="s">
        <v>110</v>
      </c>
      <c r="D446" s="59">
        <v>6</v>
      </c>
      <c r="E446" s="262"/>
      <c r="F446" s="274"/>
      <c r="G446" s="275">
        <f t="shared" ref="G446" si="82">(D446*E446)+(D446*F446)</f>
        <v>0</v>
      </c>
      <c r="I446" s="26">
        <f>2.45*1.69</f>
        <v>4.1405000000000003</v>
      </c>
      <c r="J446" s="50">
        <f>I446*D446</f>
        <v>24.843000000000004</v>
      </c>
      <c r="K446" s="42"/>
    </row>
    <row r="447" spans="1:19" ht="12" customHeight="1" x14ac:dyDescent="0.2">
      <c r="A447" s="63"/>
      <c r="B447" s="122"/>
      <c r="C447" s="73"/>
      <c r="D447" s="59"/>
      <c r="E447" s="262"/>
      <c r="F447" s="265"/>
      <c r="G447" s="266"/>
      <c r="I447" s="42"/>
      <c r="J447" s="26"/>
    </row>
    <row r="448" spans="1:19" ht="12" customHeight="1" x14ac:dyDescent="0.2">
      <c r="A448" s="63"/>
      <c r="B448" s="122"/>
      <c r="C448" s="73"/>
      <c r="D448" s="59"/>
      <c r="E448" s="262"/>
      <c r="F448" s="265"/>
      <c r="G448" s="266"/>
      <c r="I448" s="42"/>
      <c r="J448" s="26"/>
    </row>
    <row r="449" spans="1:19" ht="12.75" thickBot="1" x14ac:dyDescent="0.25">
      <c r="A449" s="63"/>
      <c r="B449" s="122"/>
      <c r="C449" s="73"/>
      <c r="D449" s="59"/>
      <c r="E449" s="262"/>
      <c r="F449" s="265"/>
      <c r="G449" s="266"/>
      <c r="I449" s="42"/>
      <c r="J449" s="26"/>
    </row>
    <row r="450" spans="1:19" x14ac:dyDescent="0.2">
      <c r="A450" s="239"/>
      <c r="B450" s="236" t="s">
        <v>186</v>
      </c>
      <c r="C450" s="211"/>
      <c r="D450" s="212"/>
      <c r="E450" s="344"/>
      <c r="F450" s="345"/>
      <c r="G450" s="342"/>
    </row>
    <row r="451" spans="1:19" ht="12.75" thickBot="1" x14ac:dyDescent="0.25">
      <c r="A451" s="242"/>
      <c r="B451" s="197" t="s">
        <v>187</v>
      </c>
      <c r="C451" s="237"/>
      <c r="D451" s="238"/>
      <c r="E451" s="346"/>
      <c r="F451" s="347"/>
      <c r="G451" s="343">
        <f>SUM(G432:G450)</f>
        <v>0</v>
      </c>
    </row>
    <row r="452" spans="1:19" x14ac:dyDescent="0.2">
      <c r="A452" s="147"/>
      <c r="B452" s="234"/>
      <c r="C452" s="138"/>
      <c r="D452" s="138"/>
      <c r="E452" s="272"/>
      <c r="F452" s="265"/>
      <c r="G452" s="266"/>
    </row>
    <row r="453" spans="1:19" x14ac:dyDescent="0.2">
      <c r="A453" s="147"/>
      <c r="B453" s="148" t="s">
        <v>188</v>
      </c>
      <c r="C453" s="138"/>
      <c r="D453" s="138"/>
      <c r="E453" s="272"/>
      <c r="F453" s="265"/>
      <c r="G453" s="266"/>
    </row>
    <row r="454" spans="1:19" x14ac:dyDescent="0.2">
      <c r="A454" s="147"/>
      <c r="B454" s="149" t="s">
        <v>161</v>
      </c>
      <c r="C454" s="138"/>
      <c r="D454" s="138"/>
      <c r="E454" s="272"/>
      <c r="F454" s="265"/>
      <c r="G454" s="266"/>
    </row>
    <row r="455" spans="1:19" x14ac:dyDescent="0.2">
      <c r="A455" s="147" t="s">
        <v>108</v>
      </c>
      <c r="B455" s="151" t="s">
        <v>40</v>
      </c>
      <c r="C455" s="138"/>
      <c r="D455" s="138"/>
      <c r="E455" s="272"/>
      <c r="F455" s="265"/>
      <c r="G455" s="266"/>
    </row>
    <row r="456" spans="1:19" ht="60" x14ac:dyDescent="0.2">
      <c r="A456" s="147"/>
      <c r="B456" s="138" t="s">
        <v>241</v>
      </c>
      <c r="C456" s="138"/>
      <c r="D456" s="138"/>
      <c r="E456" s="272"/>
      <c r="F456" s="265"/>
      <c r="G456" s="266"/>
    </row>
    <row r="457" spans="1:19" ht="36" x14ac:dyDescent="0.2">
      <c r="A457" s="147"/>
      <c r="B457" s="138" t="s">
        <v>114</v>
      </c>
      <c r="C457" s="138"/>
      <c r="D457" s="138"/>
      <c r="E457" s="272"/>
      <c r="F457" s="265"/>
      <c r="G457" s="266"/>
      <c r="I457" s="26"/>
    </row>
    <row r="458" spans="1:19" ht="36" x14ac:dyDescent="0.2">
      <c r="A458" s="56"/>
      <c r="B458" s="138" t="s">
        <v>229</v>
      </c>
      <c r="C458" s="138"/>
      <c r="D458" s="138"/>
      <c r="E458" s="272"/>
      <c r="F458" s="265"/>
      <c r="G458" s="266"/>
    </row>
    <row r="459" spans="1:19" s="43" customFormat="1" ht="15" customHeight="1" x14ac:dyDescent="0.2">
      <c r="A459" s="131" t="s">
        <v>147</v>
      </c>
      <c r="B459" s="132" t="s">
        <v>65</v>
      </c>
      <c r="C459" s="133"/>
      <c r="D459" s="134"/>
      <c r="E459" s="262"/>
      <c r="F459" s="265"/>
      <c r="G459" s="266"/>
      <c r="H459" s="16"/>
      <c r="I459" s="16"/>
      <c r="J459" s="16"/>
      <c r="K459" s="16"/>
      <c r="L459" s="16"/>
      <c r="M459" s="16"/>
      <c r="N459" s="16"/>
      <c r="O459" s="16"/>
      <c r="P459" s="16"/>
      <c r="Q459" s="16"/>
      <c r="R459" s="16"/>
      <c r="S459" s="16"/>
    </row>
    <row r="460" spans="1:19" ht="12.75" x14ac:dyDescent="0.2">
      <c r="A460" s="127" t="s">
        <v>227</v>
      </c>
      <c r="B460" s="137" t="s">
        <v>90</v>
      </c>
      <c r="C460" s="129"/>
      <c r="D460" s="130"/>
      <c r="E460" s="272"/>
      <c r="F460" s="265"/>
      <c r="G460" s="266"/>
      <c r="I460" s="51"/>
      <c r="J460" s="22"/>
      <c r="K460" s="20"/>
    </row>
    <row r="461" spans="1:19" ht="12" customHeight="1" x14ac:dyDescent="0.2">
      <c r="A461" s="127" t="s">
        <v>407</v>
      </c>
      <c r="B461" s="135" t="s">
        <v>455</v>
      </c>
      <c r="C461" s="129" t="s">
        <v>209</v>
      </c>
      <c r="D461" s="130">
        <v>15</v>
      </c>
      <c r="E461" s="272"/>
      <c r="F461" s="265"/>
      <c r="G461" s="266">
        <f t="shared" ref="G461:G463" si="83">(D461*E461)+(D461*F461)</f>
        <v>0</v>
      </c>
      <c r="I461" s="51"/>
      <c r="J461" s="22"/>
      <c r="K461" s="20"/>
    </row>
    <row r="462" spans="1:19" ht="12" customHeight="1" x14ac:dyDescent="0.2">
      <c r="A462" s="127" t="s">
        <v>404</v>
      </c>
      <c r="B462" s="135" t="s">
        <v>400</v>
      </c>
      <c r="C462" s="129" t="s">
        <v>209</v>
      </c>
      <c r="D462" s="130">
        <v>8</v>
      </c>
      <c r="E462" s="272"/>
      <c r="F462" s="265"/>
      <c r="G462" s="266">
        <f t="shared" si="83"/>
        <v>0</v>
      </c>
      <c r="I462" s="51"/>
      <c r="J462" s="22"/>
      <c r="K462" s="20"/>
    </row>
    <row r="463" spans="1:19" ht="12" customHeight="1" x14ac:dyDescent="0.2">
      <c r="A463" s="127" t="s">
        <v>283</v>
      </c>
      <c r="B463" s="135" t="s">
        <v>333</v>
      </c>
      <c r="C463" s="129" t="s">
        <v>209</v>
      </c>
      <c r="D463" s="130">
        <v>37</v>
      </c>
      <c r="E463" s="272"/>
      <c r="F463" s="265"/>
      <c r="G463" s="266">
        <f t="shared" si="83"/>
        <v>0</v>
      </c>
      <c r="I463" s="51"/>
      <c r="J463" s="22"/>
      <c r="K463" s="20"/>
    </row>
    <row r="464" spans="1:19" ht="12" customHeight="1" x14ac:dyDescent="0.2">
      <c r="A464" s="127"/>
      <c r="B464" s="135"/>
      <c r="C464" s="129"/>
      <c r="D464" s="130"/>
      <c r="E464" s="272"/>
      <c r="F464" s="265"/>
      <c r="G464" s="266"/>
    </row>
    <row r="465" spans="1:19" ht="12.75" x14ac:dyDescent="0.2">
      <c r="A465" s="127"/>
      <c r="B465" s="137"/>
      <c r="C465" s="129"/>
      <c r="D465" s="130"/>
      <c r="E465" s="272"/>
      <c r="F465" s="265"/>
      <c r="G465" s="266"/>
    </row>
    <row r="466" spans="1:19" s="43" customFormat="1" ht="15" customHeight="1" x14ac:dyDescent="0.2">
      <c r="A466" s="131" t="s">
        <v>55</v>
      </c>
      <c r="B466" s="132" t="s">
        <v>378</v>
      </c>
      <c r="C466" s="133"/>
      <c r="D466" s="134"/>
      <c r="E466" s="262"/>
      <c r="F466" s="265"/>
      <c r="G466" s="266"/>
      <c r="H466" s="16"/>
      <c r="I466" s="16"/>
      <c r="J466" s="16"/>
      <c r="K466" s="16"/>
      <c r="L466" s="16"/>
      <c r="M466" s="16"/>
      <c r="N466" s="16"/>
      <c r="O466" s="16"/>
      <c r="P466" s="16"/>
      <c r="Q466" s="16"/>
      <c r="R466" s="16"/>
      <c r="S466" s="16"/>
    </row>
    <row r="467" spans="1:19" ht="12.75" x14ac:dyDescent="0.2">
      <c r="A467" s="127" t="s">
        <v>227</v>
      </c>
      <c r="B467" s="137" t="s">
        <v>90</v>
      </c>
      <c r="C467" s="129"/>
      <c r="D467" s="130"/>
      <c r="E467" s="272"/>
      <c r="F467" s="265"/>
      <c r="G467" s="266"/>
      <c r="I467" s="51"/>
      <c r="J467" s="22"/>
      <c r="K467" s="20"/>
    </row>
    <row r="468" spans="1:19" ht="12" customHeight="1" x14ac:dyDescent="0.2">
      <c r="A468" s="127" t="s">
        <v>162</v>
      </c>
      <c r="B468" s="135" t="s">
        <v>458</v>
      </c>
      <c r="C468" s="129" t="s">
        <v>209</v>
      </c>
      <c r="D468" s="130">
        <v>76</v>
      </c>
      <c r="E468" s="272"/>
      <c r="F468" s="265"/>
      <c r="G468" s="266">
        <f t="shared" ref="G468" si="84">(D468*E468)+(D468*F468)</f>
        <v>0</v>
      </c>
      <c r="I468" s="51"/>
      <c r="J468" s="22"/>
      <c r="K468" s="20"/>
    </row>
    <row r="469" spans="1:19" ht="12" customHeight="1" x14ac:dyDescent="0.2">
      <c r="A469" s="127" t="s">
        <v>163</v>
      </c>
      <c r="B469" s="135" t="s">
        <v>468</v>
      </c>
      <c r="C469" s="129" t="s">
        <v>209</v>
      </c>
      <c r="D469" s="130">
        <v>383.26</v>
      </c>
      <c r="E469" s="272"/>
      <c r="F469" s="265"/>
      <c r="G469" s="266">
        <f t="shared" ref="G469" si="85">(D469*E469)+(D469*F469)</f>
        <v>0</v>
      </c>
      <c r="I469" s="51"/>
      <c r="J469" s="22"/>
      <c r="K469" s="20"/>
    </row>
    <row r="470" spans="1:19" ht="12" customHeight="1" x14ac:dyDescent="0.2">
      <c r="A470" s="127" t="s">
        <v>173</v>
      </c>
      <c r="B470" s="135" t="s">
        <v>469</v>
      </c>
      <c r="C470" s="129" t="s">
        <v>209</v>
      </c>
      <c r="D470" s="130">
        <v>7</v>
      </c>
      <c r="E470" s="272"/>
      <c r="F470" s="265"/>
      <c r="G470" s="266">
        <f t="shared" ref="G470" si="86">(D470*E470)+(D470*F470)</f>
        <v>0</v>
      </c>
      <c r="I470" s="51"/>
      <c r="J470" s="22"/>
      <c r="K470" s="20"/>
    </row>
    <row r="471" spans="1:19" ht="12" customHeight="1" x14ac:dyDescent="0.2">
      <c r="A471" s="127" t="s">
        <v>174</v>
      </c>
      <c r="B471" s="135" t="s">
        <v>398</v>
      </c>
      <c r="C471" s="129" t="s">
        <v>209</v>
      </c>
      <c r="D471" s="130">
        <v>7</v>
      </c>
      <c r="E471" s="272"/>
      <c r="F471" s="265"/>
      <c r="G471" s="266">
        <f t="shared" ref="G471" si="87">(D471*E471)+(D471*F471)</f>
        <v>0</v>
      </c>
      <c r="I471" s="51"/>
      <c r="J471" s="22"/>
      <c r="K471" s="20"/>
    </row>
    <row r="472" spans="1:19" ht="12" customHeight="1" x14ac:dyDescent="0.2">
      <c r="A472" s="127" t="s">
        <v>175</v>
      </c>
      <c r="B472" s="135" t="s">
        <v>470</v>
      </c>
      <c r="C472" s="129" t="s">
        <v>209</v>
      </c>
      <c r="D472" s="130">
        <v>27.887499999999999</v>
      </c>
      <c r="E472" s="272"/>
      <c r="F472" s="265"/>
      <c r="G472" s="266">
        <f t="shared" ref="G472" si="88">(D472*E472)+(D472*F472)</f>
        <v>0</v>
      </c>
      <c r="I472" s="51"/>
      <c r="J472" s="22"/>
      <c r="K472" s="20"/>
    </row>
    <row r="473" spans="1:19" ht="12" customHeight="1" x14ac:dyDescent="0.2">
      <c r="A473" s="127"/>
      <c r="B473" s="135"/>
      <c r="C473" s="129"/>
      <c r="D473" s="130"/>
      <c r="E473" s="272"/>
      <c r="F473" s="265"/>
      <c r="G473" s="266"/>
    </row>
    <row r="474" spans="1:19" x14ac:dyDescent="0.2">
      <c r="A474" s="56"/>
      <c r="B474" s="152"/>
      <c r="C474" s="153"/>
      <c r="D474" s="59"/>
      <c r="E474" s="262"/>
      <c r="F474" s="265"/>
      <c r="G474" s="266"/>
    </row>
    <row r="475" spans="1:19" s="310" customFormat="1" x14ac:dyDescent="0.2">
      <c r="A475" s="367" t="s">
        <v>167</v>
      </c>
      <c r="B475" s="324" t="s">
        <v>295</v>
      </c>
      <c r="C475" s="317"/>
      <c r="D475" s="285"/>
      <c r="E475" s="262"/>
      <c r="F475" s="285"/>
      <c r="G475" s="293"/>
    </row>
    <row r="476" spans="1:19" ht="36" x14ac:dyDescent="0.2">
      <c r="A476" s="56" t="s">
        <v>162</v>
      </c>
      <c r="B476" s="152" t="s">
        <v>296</v>
      </c>
      <c r="C476" s="153" t="s">
        <v>292</v>
      </c>
      <c r="D476" s="59">
        <v>70</v>
      </c>
      <c r="E476" s="262"/>
      <c r="F476" s="265"/>
      <c r="G476" s="266">
        <f t="shared" ref="G476" si="89">(D476*E476)+(D476*F476)</f>
        <v>0</v>
      </c>
      <c r="I476" s="16">
        <f>32.2*2</f>
        <v>64.400000000000006</v>
      </c>
    </row>
    <row r="477" spans="1:19" x14ac:dyDescent="0.2">
      <c r="A477" s="56"/>
      <c r="B477" s="152"/>
      <c r="C477" s="153"/>
      <c r="D477" s="59"/>
      <c r="E477" s="262"/>
      <c r="F477" s="265"/>
      <c r="G477" s="266"/>
    </row>
    <row r="478" spans="1:19" x14ac:dyDescent="0.2">
      <c r="A478" s="56"/>
      <c r="B478" s="152"/>
      <c r="C478" s="153"/>
      <c r="D478" s="59"/>
      <c r="E478" s="262"/>
      <c r="F478" s="265"/>
      <c r="G478" s="266"/>
    </row>
    <row r="479" spans="1:19" s="310" customFormat="1" x14ac:dyDescent="0.2">
      <c r="A479" s="367" t="s">
        <v>113</v>
      </c>
      <c r="B479" s="324" t="s">
        <v>449</v>
      </c>
      <c r="C479" s="317"/>
      <c r="D479" s="285"/>
      <c r="E479" s="262"/>
      <c r="F479" s="285"/>
      <c r="G479" s="293"/>
    </row>
    <row r="480" spans="1:19" x14ac:dyDescent="0.2">
      <c r="A480" s="56" t="s">
        <v>407</v>
      </c>
      <c r="B480" s="152" t="s">
        <v>471</v>
      </c>
      <c r="C480" s="153" t="s">
        <v>14</v>
      </c>
      <c r="D480" s="59">
        <v>1</v>
      </c>
      <c r="E480" s="262"/>
      <c r="F480" s="265"/>
      <c r="G480" s="266">
        <f t="shared" ref="G480:G484" si="90">(D480*E480)+(D480*F480)</f>
        <v>0</v>
      </c>
      <c r="I480" s="16">
        <f>32.2*2</f>
        <v>64.400000000000006</v>
      </c>
    </row>
    <row r="481" spans="1:11" x14ac:dyDescent="0.2">
      <c r="A481" s="56" t="s">
        <v>404</v>
      </c>
      <c r="B481" s="361" t="s">
        <v>472</v>
      </c>
      <c r="C481" s="153" t="s">
        <v>292</v>
      </c>
      <c r="D481" s="59">
        <v>214</v>
      </c>
      <c r="E481" s="262"/>
      <c r="F481" s="265"/>
      <c r="G481" s="266">
        <f t="shared" si="90"/>
        <v>0</v>
      </c>
    </row>
    <row r="482" spans="1:11" ht="39.75" customHeight="1" x14ac:dyDescent="0.2">
      <c r="A482" s="364" t="s">
        <v>283</v>
      </c>
      <c r="B482" s="365" t="s">
        <v>474</v>
      </c>
      <c r="C482" s="129" t="s">
        <v>209</v>
      </c>
      <c r="D482" s="363">
        <v>33</v>
      </c>
      <c r="E482" s="262"/>
      <c r="F482" s="265"/>
      <c r="G482" s="266">
        <f t="shared" si="90"/>
        <v>0</v>
      </c>
    </row>
    <row r="483" spans="1:11" ht="25.5" customHeight="1" x14ac:dyDescent="0.2">
      <c r="A483" s="63" t="s">
        <v>284</v>
      </c>
      <c r="B483" s="362" t="s">
        <v>473</v>
      </c>
      <c r="C483" s="366" t="s">
        <v>110</v>
      </c>
      <c r="D483" s="66">
        <v>2</v>
      </c>
      <c r="E483" s="262"/>
      <c r="F483" s="265"/>
      <c r="G483" s="266">
        <f t="shared" si="90"/>
        <v>0</v>
      </c>
    </row>
    <row r="484" spans="1:11" x14ac:dyDescent="0.2">
      <c r="A484" s="56" t="s">
        <v>286</v>
      </c>
      <c r="B484" s="152" t="s">
        <v>475</v>
      </c>
      <c r="C484" s="153" t="s">
        <v>14</v>
      </c>
      <c r="D484" s="59">
        <v>1</v>
      </c>
      <c r="E484" s="262"/>
      <c r="F484" s="265"/>
      <c r="G484" s="266">
        <f t="shared" si="90"/>
        <v>0</v>
      </c>
    </row>
    <row r="485" spans="1:11" x14ac:dyDescent="0.2">
      <c r="A485" s="56"/>
      <c r="B485" s="152"/>
      <c r="C485" s="153"/>
      <c r="D485" s="59"/>
      <c r="E485" s="262"/>
      <c r="F485" s="265"/>
      <c r="G485" s="266"/>
    </row>
    <row r="486" spans="1:11" x14ac:dyDescent="0.2">
      <c r="A486" s="56"/>
      <c r="B486" s="152"/>
      <c r="C486" s="153"/>
      <c r="D486" s="59"/>
      <c r="E486" s="262"/>
      <c r="F486" s="265"/>
      <c r="G486" s="266"/>
    </row>
    <row r="487" spans="1:11" x14ac:dyDescent="0.2">
      <c r="A487" s="56"/>
      <c r="B487" s="152"/>
      <c r="C487" s="153"/>
      <c r="D487" s="59"/>
      <c r="E487" s="262"/>
      <c r="F487" s="265"/>
      <c r="G487" s="266"/>
    </row>
    <row r="488" spans="1:11" x14ac:dyDescent="0.2">
      <c r="A488" s="56"/>
      <c r="B488" s="152"/>
      <c r="C488" s="153"/>
      <c r="D488" s="59"/>
      <c r="E488" s="262"/>
      <c r="F488" s="265"/>
      <c r="G488" s="266"/>
    </row>
    <row r="489" spans="1:11" x14ac:dyDescent="0.2">
      <c r="A489" s="56"/>
      <c r="B489" s="152"/>
      <c r="C489" s="153"/>
      <c r="D489" s="59"/>
      <c r="E489" s="262"/>
      <c r="F489" s="265"/>
      <c r="G489" s="266"/>
    </row>
    <row r="490" spans="1:11" x14ac:dyDescent="0.2">
      <c r="A490" s="56"/>
      <c r="B490" s="152"/>
      <c r="C490" s="153"/>
      <c r="D490" s="59"/>
      <c r="E490" s="262"/>
      <c r="F490" s="265"/>
      <c r="G490" s="266"/>
    </row>
    <row r="491" spans="1:11" ht="12.75" thickBot="1" x14ac:dyDescent="0.25">
      <c r="A491" s="56"/>
      <c r="B491" s="152"/>
      <c r="C491" s="153"/>
      <c r="D491" s="59"/>
      <c r="E491" s="262"/>
      <c r="F491" s="265"/>
      <c r="G491" s="266"/>
    </row>
    <row r="492" spans="1:11" x14ac:dyDescent="0.2">
      <c r="A492" s="239"/>
      <c r="B492" s="236" t="s">
        <v>189</v>
      </c>
      <c r="C492" s="240"/>
      <c r="D492" s="241"/>
      <c r="E492" s="348"/>
      <c r="F492" s="338"/>
      <c r="G492" s="339"/>
    </row>
    <row r="493" spans="1:11" ht="12" customHeight="1" thickBot="1" x14ac:dyDescent="0.25">
      <c r="A493" s="242"/>
      <c r="B493" s="197" t="s">
        <v>111</v>
      </c>
      <c r="C493" s="243"/>
      <c r="D493" s="235"/>
      <c r="E493" s="349"/>
      <c r="F493" s="340"/>
      <c r="G493" s="341">
        <f>SUM(G458:G485)</f>
        <v>0</v>
      </c>
    </row>
    <row r="494" spans="1:11" x14ac:dyDescent="0.2">
      <c r="A494" s="56"/>
      <c r="B494" s="116" t="s">
        <v>112</v>
      </c>
      <c r="C494" s="58"/>
      <c r="D494" s="59"/>
      <c r="E494" s="262"/>
      <c r="F494" s="265"/>
      <c r="G494" s="266"/>
    </row>
    <row r="495" spans="1:11" x14ac:dyDescent="0.2">
      <c r="A495" s="56"/>
      <c r="B495" s="80" t="s">
        <v>92</v>
      </c>
      <c r="C495" s="58"/>
      <c r="D495" s="59"/>
      <c r="E495" s="262"/>
      <c r="F495" s="265"/>
      <c r="G495" s="266"/>
    </row>
    <row r="496" spans="1:11" x14ac:dyDescent="0.2">
      <c r="A496" s="56" t="s">
        <v>113</v>
      </c>
      <c r="B496" s="64" t="s">
        <v>40</v>
      </c>
      <c r="C496" s="58" t="s">
        <v>57</v>
      </c>
      <c r="D496" s="59"/>
      <c r="E496" s="262"/>
      <c r="F496" s="265"/>
      <c r="G496" s="266"/>
      <c r="I496" s="28"/>
      <c r="J496" s="23">
        <v>80.599999999999994</v>
      </c>
      <c r="K496" s="23"/>
    </row>
    <row r="497" spans="1:19" ht="72" x14ac:dyDescent="0.2">
      <c r="A497" s="63"/>
      <c r="B497" s="78" t="s">
        <v>259</v>
      </c>
      <c r="C497" s="98"/>
      <c r="D497" s="98"/>
      <c r="E497" s="277"/>
      <c r="F497" s="277"/>
      <c r="G497" s="297"/>
      <c r="H497" s="30"/>
      <c r="I497" s="28"/>
      <c r="J497" s="39"/>
      <c r="K497" s="23"/>
      <c r="L497" s="30"/>
      <c r="M497" s="30"/>
      <c r="N497" s="30"/>
      <c r="O497" s="30"/>
      <c r="P497" s="30"/>
      <c r="Q497" s="30"/>
      <c r="R497" s="30"/>
      <c r="S497" s="30"/>
    </row>
    <row r="498" spans="1:19" ht="24" x14ac:dyDescent="0.2">
      <c r="A498" s="63"/>
      <c r="B498" s="78" t="s">
        <v>258</v>
      </c>
      <c r="C498" s="98"/>
      <c r="D498" s="98"/>
      <c r="E498" s="277"/>
      <c r="F498" s="277"/>
      <c r="G498" s="297"/>
      <c r="H498" s="30"/>
      <c r="I498" s="28"/>
      <c r="J498" s="23">
        <v>168.85</v>
      </c>
      <c r="K498" s="23"/>
      <c r="L498" s="30"/>
      <c r="M498" s="30"/>
      <c r="N498" s="30"/>
      <c r="O498" s="30"/>
      <c r="P498" s="30"/>
      <c r="Q498" s="30"/>
      <c r="R498" s="30"/>
      <c r="S498" s="30"/>
    </row>
    <row r="499" spans="1:19" ht="48" x14ac:dyDescent="0.2">
      <c r="A499" s="63"/>
      <c r="B499" s="78" t="s">
        <v>334</v>
      </c>
      <c r="C499" s="98"/>
      <c r="D499" s="98"/>
      <c r="E499" s="277"/>
      <c r="F499" s="277"/>
      <c r="G499" s="297"/>
      <c r="H499" s="30"/>
      <c r="I499" s="28"/>
      <c r="J499" s="39"/>
      <c r="K499" s="23"/>
      <c r="L499" s="30"/>
      <c r="M499" s="30"/>
      <c r="N499" s="30"/>
      <c r="O499" s="30"/>
      <c r="P499" s="30"/>
      <c r="Q499" s="30"/>
      <c r="R499" s="30"/>
      <c r="S499" s="30"/>
    </row>
    <row r="500" spans="1:19" ht="72" x14ac:dyDescent="0.2">
      <c r="A500" s="63"/>
      <c r="B500" s="78" t="s">
        <v>335</v>
      </c>
      <c r="C500" s="98"/>
      <c r="D500" s="98"/>
      <c r="E500" s="277"/>
      <c r="F500" s="277"/>
      <c r="G500" s="297"/>
      <c r="H500" s="30"/>
      <c r="I500" s="36"/>
      <c r="J500" s="23">
        <v>139</v>
      </c>
      <c r="K500" s="37"/>
      <c r="L500" s="30"/>
      <c r="M500" s="30"/>
      <c r="N500" s="30"/>
      <c r="O500" s="30"/>
      <c r="P500" s="30"/>
      <c r="Q500" s="30"/>
      <c r="R500" s="30"/>
      <c r="S500" s="30"/>
    </row>
    <row r="501" spans="1:19" x14ac:dyDescent="0.2">
      <c r="A501" s="372" t="s">
        <v>146</v>
      </c>
      <c r="B501" s="119" t="s">
        <v>65</v>
      </c>
      <c r="C501" s="120"/>
      <c r="D501" s="121"/>
      <c r="E501" s="262"/>
      <c r="F501" s="265"/>
      <c r="G501" s="266"/>
      <c r="I501" s="23"/>
      <c r="J501" s="37"/>
      <c r="K501" s="23"/>
    </row>
    <row r="502" spans="1:19" ht="24" x14ac:dyDescent="0.2">
      <c r="A502" s="56"/>
      <c r="B502" s="155" t="s">
        <v>336</v>
      </c>
      <c r="C502" s="156" t="s">
        <v>138</v>
      </c>
      <c r="D502" s="59">
        <v>325.82499999999999</v>
      </c>
      <c r="E502" s="262"/>
      <c r="F502" s="265"/>
      <c r="G502" s="266">
        <f t="shared" ref="G502:G504" si="91">(D502*E502)+(D502*F502)</f>
        <v>0</v>
      </c>
      <c r="I502" s="23"/>
      <c r="J502" s="39"/>
      <c r="K502" s="23"/>
    </row>
    <row r="503" spans="1:19" ht="13.5" x14ac:dyDescent="0.2">
      <c r="A503" s="56"/>
      <c r="B503" s="155" t="s">
        <v>337</v>
      </c>
      <c r="C503" s="156" t="s">
        <v>138</v>
      </c>
      <c r="D503" s="59">
        <v>805.82500000000005</v>
      </c>
      <c r="E503" s="262"/>
      <c r="F503" s="265"/>
      <c r="G503" s="266">
        <f t="shared" si="91"/>
        <v>0</v>
      </c>
      <c r="I503" s="23"/>
      <c r="J503" s="23">
        <v>143.19999999999999</v>
      </c>
      <c r="K503" s="23"/>
    </row>
    <row r="504" spans="1:19" ht="13.5" x14ac:dyDescent="0.2">
      <c r="A504" s="56"/>
      <c r="B504" s="155" t="s">
        <v>338</v>
      </c>
      <c r="C504" s="156" t="s">
        <v>138</v>
      </c>
      <c r="D504" s="59">
        <v>315</v>
      </c>
      <c r="E504" s="262"/>
      <c r="F504" s="265"/>
      <c r="G504" s="266">
        <f t="shared" si="91"/>
        <v>0</v>
      </c>
      <c r="I504" s="23" t="e">
        <f>#REF!+#REF!+#REF!+14+D386</f>
        <v>#REF!</v>
      </c>
      <c r="J504" s="39"/>
      <c r="K504" s="23"/>
    </row>
    <row r="505" spans="1:19" x14ac:dyDescent="0.2">
      <c r="A505" s="56"/>
      <c r="B505" s="155"/>
      <c r="C505" s="156"/>
      <c r="D505" s="59"/>
      <c r="E505" s="262"/>
      <c r="F505" s="265"/>
      <c r="G505" s="266"/>
      <c r="I505" s="37"/>
      <c r="J505" s="23"/>
      <c r="K505" s="23"/>
    </row>
    <row r="506" spans="1:19" x14ac:dyDescent="0.2">
      <c r="A506" s="372" t="s">
        <v>147</v>
      </c>
      <c r="B506" s="119" t="s">
        <v>67</v>
      </c>
      <c r="C506" s="120"/>
      <c r="D506" s="121"/>
      <c r="E506" s="262"/>
      <c r="F506" s="265"/>
      <c r="G506" s="266"/>
      <c r="I506" s="23"/>
      <c r="J506" s="37"/>
      <c r="K506" s="23"/>
    </row>
    <row r="507" spans="1:19" ht="24" x14ac:dyDescent="0.2">
      <c r="A507" s="56"/>
      <c r="B507" s="155" t="s">
        <v>336</v>
      </c>
      <c r="C507" s="156" t="s">
        <v>138</v>
      </c>
      <c r="D507" s="59">
        <v>273.625</v>
      </c>
      <c r="E507" s="262"/>
      <c r="F507" s="265"/>
      <c r="G507" s="266">
        <f t="shared" ref="G507:G509" si="92">(D507*E507)+(D507*F507)</f>
        <v>0</v>
      </c>
      <c r="I507" s="23"/>
      <c r="J507" s="39"/>
      <c r="K507" s="23"/>
    </row>
    <row r="508" spans="1:19" ht="13.5" x14ac:dyDescent="0.2">
      <c r="A508" s="56"/>
      <c r="B508" s="155" t="s">
        <v>337</v>
      </c>
      <c r="C508" s="156" t="s">
        <v>138</v>
      </c>
      <c r="D508" s="59">
        <v>339.625</v>
      </c>
      <c r="E508" s="262"/>
      <c r="F508" s="265"/>
      <c r="G508" s="266">
        <f t="shared" si="92"/>
        <v>0</v>
      </c>
      <c r="I508" s="23"/>
      <c r="J508" s="23">
        <v>143.19999999999999</v>
      </c>
      <c r="K508" s="23"/>
    </row>
    <row r="509" spans="1:19" ht="13.5" x14ac:dyDescent="0.2">
      <c r="A509" s="56"/>
      <c r="B509" s="155" t="s">
        <v>338</v>
      </c>
      <c r="C509" s="156" t="s">
        <v>138</v>
      </c>
      <c r="D509" s="59">
        <v>501.14749999999998</v>
      </c>
      <c r="E509" s="262"/>
      <c r="F509" s="265"/>
      <c r="G509" s="266">
        <f t="shared" si="92"/>
        <v>0</v>
      </c>
      <c r="I509" s="42" t="e">
        <f>#REF!+#REF!+#REF!+12.5+#REF!</f>
        <v>#REF!</v>
      </c>
      <c r="J509" s="39" t="e">
        <f>#REF!</f>
        <v>#REF!</v>
      </c>
      <c r="K509" s="23"/>
    </row>
    <row r="510" spans="1:19" x14ac:dyDescent="0.2">
      <c r="A510" s="372" t="s">
        <v>55</v>
      </c>
      <c r="B510" s="119" t="s">
        <v>250</v>
      </c>
      <c r="C510" s="120"/>
      <c r="D510" s="121"/>
      <c r="E510" s="262"/>
      <c r="F510" s="265"/>
      <c r="G510" s="266"/>
      <c r="J510" s="23"/>
    </row>
    <row r="511" spans="1:19" ht="24" x14ac:dyDescent="0.2">
      <c r="A511" s="56"/>
      <c r="B511" s="155" t="s">
        <v>336</v>
      </c>
      <c r="C511" s="156" t="s">
        <v>138</v>
      </c>
      <c r="D511" s="59">
        <v>55</v>
      </c>
      <c r="E511" s="262"/>
      <c r="F511" s="265"/>
      <c r="G511" s="266">
        <f t="shared" ref="G511:G513" si="93">(D511*E511)+(D511*F511)</f>
        <v>0</v>
      </c>
      <c r="J511" s="23"/>
    </row>
    <row r="512" spans="1:19" ht="13.5" x14ac:dyDescent="0.2">
      <c r="A512" s="56"/>
      <c r="B512" s="155" t="s">
        <v>337</v>
      </c>
      <c r="C512" s="156" t="s">
        <v>138</v>
      </c>
      <c r="D512" s="59">
        <v>55</v>
      </c>
      <c r="E512" s="262"/>
      <c r="F512" s="265"/>
      <c r="G512" s="266">
        <f t="shared" si="93"/>
        <v>0</v>
      </c>
      <c r="J512" s="23"/>
    </row>
    <row r="513" spans="1:10" ht="13.5" x14ac:dyDescent="0.2">
      <c r="A513" s="56"/>
      <c r="B513" s="155" t="s">
        <v>339</v>
      </c>
      <c r="C513" s="156" t="s">
        <v>138</v>
      </c>
      <c r="D513" s="59">
        <v>70</v>
      </c>
      <c r="E513" s="262"/>
      <c r="F513" s="265"/>
      <c r="G513" s="266">
        <f t="shared" si="93"/>
        <v>0</v>
      </c>
      <c r="J513" s="23"/>
    </row>
    <row r="514" spans="1:10" x14ac:dyDescent="0.2">
      <c r="A514" s="56"/>
      <c r="B514" s="155"/>
      <c r="C514" s="156"/>
      <c r="D514" s="59"/>
      <c r="E514" s="262"/>
      <c r="F514" s="265"/>
      <c r="G514" s="266"/>
      <c r="J514" s="53"/>
    </row>
    <row r="515" spans="1:10" x14ac:dyDescent="0.2">
      <c r="A515" s="56"/>
      <c r="B515" s="155"/>
      <c r="C515" s="156"/>
      <c r="D515" s="59"/>
      <c r="E515" s="262"/>
      <c r="F515" s="265"/>
      <c r="G515" s="266"/>
      <c r="J515" s="53"/>
    </row>
    <row r="516" spans="1:10" x14ac:dyDescent="0.2">
      <c r="A516" s="56"/>
      <c r="B516" s="155"/>
      <c r="C516" s="156"/>
      <c r="D516" s="59"/>
      <c r="E516" s="262"/>
      <c r="F516" s="265"/>
      <c r="G516" s="266"/>
      <c r="J516" s="53"/>
    </row>
    <row r="517" spans="1:10" x14ac:dyDescent="0.2">
      <c r="A517" s="56"/>
      <c r="B517" s="155"/>
      <c r="C517" s="156"/>
      <c r="D517" s="59"/>
      <c r="E517" s="262"/>
      <c r="F517" s="265"/>
      <c r="G517" s="266"/>
      <c r="J517" s="53"/>
    </row>
    <row r="518" spans="1:10" x14ac:dyDescent="0.2">
      <c r="A518" s="56"/>
      <c r="B518" s="155"/>
      <c r="C518" s="156"/>
      <c r="D518" s="59"/>
      <c r="E518" s="262"/>
      <c r="F518" s="265"/>
      <c r="G518" s="266"/>
      <c r="J518" s="53"/>
    </row>
    <row r="519" spans="1:10" x14ac:dyDescent="0.2">
      <c r="A519" s="56"/>
      <c r="B519" s="155"/>
      <c r="C519" s="156"/>
      <c r="D519" s="59"/>
      <c r="E519" s="262"/>
      <c r="F519" s="265"/>
      <c r="G519" s="266"/>
      <c r="J519" s="53"/>
    </row>
    <row r="520" spans="1:10" x14ac:dyDescent="0.2">
      <c r="A520" s="56"/>
      <c r="B520" s="155"/>
      <c r="C520" s="156"/>
      <c r="D520" s="59"/>
      <c r="E520" s="262"/>
      <c r="F520" s="265"/>
      <c r="G520" s="266"/>
      <c r="J520" s="53"/>
    </row>
    <row r="521" spans="1:10" x14ac:dyDescent="0.2">
      <c r="A521" s="56"/>
      <c r="B521" s="155"/>
      <c r="C521" s="156"/>
      <c r="D521" s="59"/>
      <c r="E521" s="262"/>
      <c r="F521" s="265"/>
      <c r="G521" s="266"/>
      <c r="J521" s="53"/>
    </row>
    <row r="522" spans="1:10" x14ac:dyDescent="0.2">
      <c r="A522" s="56"/>
      <c r="B522" s="155"/>
      <c r="C522" s="156"/>
      <c r="D522" s="59"/>
      <c r="E522" s="262"/>
      <c r="F522" s="265"/>
      <c r="G522" s="266"/>
      <c r="J522" s="53"/>
    </row>
    <row r="523" spans="1:10" x14ac:dyDescent="0.2">
      <c r="A523" s="56"/>
      <c r="B523" s="155"/>
      <c r="C523" s="156"/>
      <c r="D523" s="59"/>
      <c r="E523" s="262"/>
      <c r="F523" s="265"/>
      <c r="G523" s="266"/>
      <c r="J523" s="53"/>
    </row>
    <row r="524" spans="1:10" x14ac:dyDescent="0.2">
      <c r="A524" s="56"/>
      <c r="B524" s="155"/>
      <c r="C524" s="156"/>
      <c r="D524" s="59"/>
      <c r="E524" s="262"/>
      <c r="F524" s="265"/>
      <c r="G524" s="266"/>
      <c r="J524" s="53"/>
    </row>
    <row r="525" spans="1:10" x14ac:dyDescent="0.2">
      <c r="A525" s="56"/>
      <c r="B525" s="155"/>
      <c r="C525" s="156"/>
      <c r="D525" s="59"/>
      <c r="E525" s="262"/>
      <c r="F525" s="265"/>
      <c r="G525" s="266"/>
      <c r="J525" s="53"/>
    </row>
    <row r="526" spans="1:10" x14ac:dyDescent="0.2">
      <c r="A526" s="56"/>
      <c r="B526" s="155"/>
      <c r="C526" s="156"/>
      <c r="D526" s="59"/>
      <c r="E526" s="262"/>
      <c r="F526" s="265"/>
      <c r="G526" s="266"/>
      <c r="J526" s="53"/>
    </row>
    <row r="527" spans="1:10" ht="12.75" thickBot="1" x14ac:dyDescent="0.25">
      <c r="A527" s="56"/>
      <c r="B527" s="155"/>
      <c r="C527" s="156"/>
      <c r="D527" s="59"/>
      <c r="E527" s="262"/>
      <c r="F527" s="265"/>
      <c r="G527" s="266"/>
      <c r="J527" s="53"/>
    </row>
    <row r="528" spans="1:10" ht="12" customHeight="1" x14ac:dyDescent="0.2">
      <c r="A528" s="239"/>
      <c r="B528" s="236" t="s">
        <v>190</v>
      </c>
      <c r="C528" s="227"/>
      <c r="D528" s="222"/>
      <c r="E528" s="337"/>
      <c r="F528" s="338"/>
      <c r="G528" s="339"/>
    </row>
    <row r="529" spans="1:19" ht="12" customHeight="1" thickBot="1" x14ac:dyDescent="0.25">
      <c r="A529" s="242"/>
      <c r="B529" s="197" t="s">
        <v>115</v>
      </c>
      <c r="C529" s="228"/>
      <c r="D529" s="226"/>
      <c r="E529" s="334"/>
      <c r="F529" s="340"/>
      <c r="G529" s="341">
        <f>SUM(G502:G514)</f>
        <v>0</v>
      </c>
    </row>
    <row r="530" spans="1:19" ht="12" customHeight="1" x14ac:dyDescent="0.2">
      <c r="A530" s="56"/>
      <c r="B530" s="116" t="s">
        <v>116</v>
      </c>
      <c r="C530" s="58"/>
      <c r="D530" s="59"/>
      <c r="E530" s="262"/>
      <c r="F530" s="265"/>
      <c r="G530" s="266"/>
    </row>
    <row r="531" spans="1:19" ht="12" customHeight="1" x14ac:dyDescent="0.2">
      <c r="A531" s="56"/>
      <c r="B531" s="80" t="s">
        <v>94</v>
      </c>
      <c r="C531" s="58"/>
      <c r="D531" s="59"/>
      <c r="E531" s="262"/>
      <c r="F531" s="265"/>
      <c r="G531" s="266"/>
    </row>
    <row r="532" spans="1:19" ht="12" customHeight="1" x14ac:dyDescent="0.2">
      <c r="A532" s="56" t="s">
        <v>117</v>
      </c>
      <c r="B532" s="64" t="s">
        <v>40</v>
      </c>
      <c r="C532" s="58"/>
      <c r="D532" s="59"/>
      <c r="E532" s="262"/>
      <c r="F532" s="265"/>
      <c r="G532" s="266"/>
    </row>
    <row r="533" spans="1:19" ht="53.25" customHeight="1" x14ac:dyDescent="0.2">
      <c r="A533" s="63"/>
      <c r="B533" s="78" t="s">
        <v>135</v>
      </c>
      <c r="C533" s="78"/>
      <c r="D533" s="78"/>
      <c r="E533" s="287"/>
      <c r="F533" s="287"/>
      <c r="G533" s="288"/>
      <c r="H533" s="30"/>
      <c r="I533" s="30"/>
      <c r="J533" s="30"/>
      <c r="K533" s="30"/>
      <c r="L533" s="30"/>
      <c r="M533" s="30"/>
      <c r="N533" s="30"/>
      <c r="O533" s="30"/>
      <c r="P533" s="30"/>
      <c r="Q533" s="30"/>
      <c r="R533" s="30"/>
      <c r="S533" s="30"/>
    </row>
    <row r="534" spans="1:19" s="310" customFormat="1" x14ac:dyDescent="0.2">
      <c r="A534" s="367" t="s">
        <v>168</v>
      </c>
      <c r="B534" s="313" t="s">
        <v>121</v>
      </c>
      <c r="C534" s="317"/>
      <c r="D534" s="285"/>
      <c r="E534" s="262"/>
      <c r="F534" s="285"/>
      <c r="G534" s="293"/>
    </row>
    <row r="535" spans="1:19" x14ac:dyDescent="0.2">
      <c r="A535" s="372" t="s">
        <v>146</v>
      </c>
      <c r="B535" s="157" t="s">
        <v>65</v>
      </c>
      <c r="C535" s="158"/>
      <c r="D535" s="121"/>
      <c r="E535" s="262"/>
      <c r="F535" s="285"/>
      <c r="G535" s="298"/>
    </row>
    <row r="536" spans="1:19" s="43" customFormat="1" ht="14.25" customHeight="1" x14ac:dyDescent="0.2">
      <c r="A536" s="373" t="s">
        <v>162</v>
      </c>
      <c r="B536" s="159" t="s">
        <v>359</v>
      </c>
      <c r="C536" s="160" t="s">
        <v>110</v>
      </c>
      <c r="D536" s="161"/>
      <c r="E536" s="296"/>
      <c r="F536" s="283"/>
      <c r="G536" s="284"/>
      <c r="H536" s="16"/>
      <c r="I536" s="16"/>
      <c r="J536" s="16"/>
      <c r="K536" s="16"/>
      <c r="L536" s="16"/>
      <c r="M536" s="16"/>
      <c r="N536" s="16"/>
      <c r="O536" s="16"/>
      <c r="P536" s="16"/>
      <c r="Q536" s="16"/>
      <c r="R536" s="16"/>
      <c r="S536" s="16"/>
    </row>
    <row r="537" spans="1:19" s="43" customFormat="1" ht="25.5" customHeight="1" x14ac:dyDescent="0.2">
      <c r="A537" s="56"/>
      <c r="B537" s="122" t="s">
        <v>405</v>
      </c>
      <c r="C537" s="123" t="s">
        <v>14</v>
      </c>
      <c r="D537" s="59">
        <v>1</v>
      </c>
      <c r="E537" s="262"/>
      <c r="F537" s="265"/>
      <c r="G537" s="266">
        <f>(D537*E537)+(D537*F537)</f>
        <v>0</v>
      </c>
      <c r="H537" s="16"/>
      <c r="I537" s="16"/>
      <c r="J537" s="16"/>
      <c r="K537" s="16"/>
      <c r="L537" s="16"/>
      <c r="M537" s="16"/>
      <c r="N537" s="16"/>
      <c r="O537" s="16"/>
      <c r="P537" s="16"/>
      <c r="Q537" s="16"/>
      <c r="R537" s="16"/>
      <c r="S537" s="16"/>
    </row>
    <row r="538" spans="1:19" s="310" customFormat="1" ht="12" customHeight="1" x14ac:dyDescent="0.2">
      <c r="A538" s="367" t="s">
        <v>476</v>
      </c>
      <c r="B538" s="313" t="s">
        <v>282</v>
      </c>
      <c r="C538" s="317"/>
      <c r="D538" s="285"/>
      <c r="E538" s="262"/>
      <c r="F538" s="285"/>
      <c r="G538" s="293"/>
    </row>
    <row r="539" spans="1:19" ht="48.75" customHeight="1" x14ac:dyDescent="0.2">
      <c r="A539" s="56"/>
      <c r="B539" s="122" t="s">
        <v>406</v>
      </c>
      <c r="C539" s="123"/>
      <c r="D539" s="59"/>
      <c r="E539" s="262"/>
      <c r="F539" s="265"/>
      <c r="G539" s="266">
        <f t="shared" ref="G539:G549" si="94">(D539*E539)+(D539*F539)</f>
        <v>0</v>
      </c>
    </row>
    <row r="540" spans="1:19" ht="13.5" customHeight="1" x14ac:dyDescent="0.2">
      <c r="A540" s="56" t="s">
        <v>407</v>
      </c>
      <c r="B540" s="122" t="s">
        <v>478</v>
      </c>
      <c r="C540" s="123" t="s">
        <v>110</v>
      </c>
      <c r="D540" s="59">
        <v>9</v>
      </c>
      <c r="E540" s="262"/>
      <c r="F540" s="265"/>
      <c r="G540" s="266">
        <f t="shared" si="94"/>
        <v>0</v>
      </c>
    </row>
    <row r="541" spans="1:19" ht="13.5" customHeight="1" x14ac:dyDescent="0.2">
      <c r="A541" s="56" t="s">
        <v>404</v>
      </c>
      <c r="B541" s="122" t="s">
        <v>477</v>
      </c>
      <c r="C541" s="123" t="s">
        <v>110</v>
      </c>
      <c r="D541" s="59">
        <v>1</v>
      </c>
      <c r="E541" s="262"/>
      <c r="F541" s="265"/>
      <c r="G541" s="266">
        <f t="shared" ref="G541" si="95">(D541*E541)+(D541*F541)</f>
        <v>0</v>
      </c>
    </row>
    <row r="542" spans="1:19" ht="24" x14ac:dyDescent="0.2">
      <c r="A542" s="56" t="s">
        <v>283</v>
      </c>
      <c r="B542" s="122" t="s">
        <v>479</v>
      </c>
      <c r="C542" s="123" t="s">
        <v>110</v>
      </c>
      <c r="D542" s="59">
        <v>2</v>
      </c>
      <c r="E542" s="262"/>
      <c r="F542" s="265"/>
      <c r="G542" s="266">
        <f t="shared" ref="G542" si="96">(D542*E542)+(D542*F542)</f>
        <v>0</v>
      </c>
    </row>
    <row r="543" spans="1:19" ht="26.25" customHeight="1" x14ac:dyDescent="0.2">
      <c r="A543" s="56" t="s">
        <v>284</v>
      </c>
      <c r="B543" s="122" t="s">
        <v>480</v>
      </c>
      <c r="C543" s="123" t="s">
        <v>110</v>
      </c>
      <c r="D543" s="59">
        <v>22</v>
      </c>
      <c r="E543" s="262"/>
      <c r="F543" s="265"/>
      <c r="G543" s="266">
        <f t="shared" si="94"/>
        <v>0</v>
      </c>
      <c r="I543" s="16">
        <f>32.2*8*2</f>
        <v>515.20000000000005</v>
      </c>
      <c r="J543" s="16">
        <f>I543*105%</f>
        <v>540.96</v>
      </c>
    </row>
    <row r="544" spans="1:19" ht="24" x14ac:dyDescent="0.2">
      <c r="A544" s="56" t="s">
        <v>286</v>
      </c>
      <c r="B544" s="122" t="s">
        <v>290</v>
      </c>
      <c r="C544" s="156" t="s">
        <v>138</v>
      </c>
      <c r="D544" s="59">
        <v>1321.2</v>
      </c>
      <c r="E544" s="262"/>
      <c r="F544" s="265"/>
      <c r="G544" s="266">
        <f t="shared" si="94"/>
        <v>0</v>
      </c>
      <c r="I544" s="16">
        <f>32.2*6.616*2</f>
        <v>426.07040000000001</v>
      </c>
    </row>
    <row r="545" spans="1:9" ht="36" x14ac:dyDescent="0.2">
      <c r="A545" s="56" t="s">
        <v>287</v>
      </c>
      <c r="B545" s="122" t="s">
        <v>285</v>
      </c>
      <c r="C545" s="156" t="s">
        <v>138</v>
      </c>
      <c r="D545" s="59">
        <v>1321.2</v>
      </c>
      <c r="E545" s="262"/>
      <c r="F545" s="265"/>
      <c r="G545" s="266">
        <f t="shared" si="94"/>
        <v>0</v>
      </c>
    </row>
    <row r="546" spans="1:9" ht="24" x14ac:dyDescent="0.2">
      <c r="A546" s="56" t="s">
        <v>289</v>
      </c>
      <c r="B546" s="122" t="s">
        <v>288</v>
      </c>
      <c r="C546" s="156" t="s">
        <v>138</v>
      </c>
      <c r="D546" s="59">
        <v>1321.2</v>
      </c>
      <c r="E546" s="262"/>
      <c r="F546" s="265"/>
      <c r="G546" s="266">
        <f t="shared" si="94"/>
        <v>0</v>
      </c>
    </row>
    <row r="547" spans="1:9" ht="24" x14ac:dyDescent="0.2">
      <c r="A547" s="56" t="s">
        <v>481</v>
      </c>
      <c r="B547" s="122" t="s">
        <v>291</v>
      </c>
      <c r="C547" s="156" t="s">
        <v>292</v>
      </c>
      <c r="D547" s="59">
        <v>36</v>
      </c>
      <c r="E547" s="262"/>
      <c r="F547" s="265"/>
      <c r="G547" s="266">
        <f t="shared" si="94"/>
        <v>0</v>
      </c>
    </row>
    <row r="548" spans="1:9" ht="24" x14ac:dyDescent="0.2">
      <c r="A548" s="56" t="s">
        <v>482</v>
      </c>
      <c r="B548" s="122" t="s">
        <v>293</v>
      </c>
      <c r="C548" s="156" t="s">
        <v>292</v>
      </c>
      <c r="D548" s="59">
        <v>27</v>
      </c>
      <c r="E548" s="262"/>
      <c r="F548" s="265"/>
      <c r="G548" s="266">
        <f t="shared" si="94"/>
        <v>0</v>
      </c>
      <c r="I548" s="16">
        <f>6.7*4</f>
        <v>26.8</v>
      </c>
    </row>
    <row r="549" spans="1:9" ht="12" customHeight="1" x14ac:dyDescent="0.2">
      <c r="A549" s="56" t="s">
        <v>482</v>
      </c>
      <c r="B549" s="122" t="s">
        <v>294</v>
      </c>
      <c r="C549" s="156" t="s">
        <v>292</v>
      </c>
      <c r="D549" s="59">
        <v>72</v>
      </c>
      <c r="E549" s="262"/>
      <c r="F549" s="265"/>
      <c r="G549" s="266">
        <f t="shared" si="94"/>
        <v>0</v>
      </c>
      <c r="I549" s="16">
        <f>32.2*2</f>
        <v>64.400000000000006</v>
      </c>
    </row>
    <row r="550" spans="1:9" x14ac:dyDescent="0.2">
      <c r="A550" s="56"/>
      <c r="B550" s="122"/>
      <c r="C550" s="156"/>
      <c r="D550" s="59"/>
      <c r="E550" s="262"/>
      <c r="F550" s="265"/>
      <c r="G550" s="266"/>
    </row>
    <row r="551" spans="1:9" ht="12" customHeight="1" x14ac:dyDescent="0.2">
      <c r="A551" s="56"/>
      <c r="B551" s="122"/>
      <c r="C551" s="156"/>
      <c r="D551" s="59"/>
      <c r="E551" s="262"/>
      <c r="F551" s="265"/>
      <c r="G551" s="266"/>
    </row>
    <row r="552" spans="1:9" ht="12" customHeight="1" x14ac:dyDescent="0.2">
      <c r="A552" s="56"/>
      <c r="B552" s="122"/>
      <c r="C552" s="156"/>
      <c r="D552" s="59"/>
      <c r="E552" s="262"/>
      <c r="F552" s="265"/>
      <c r="G552" s="266"/>
    </row>
    <row r="553" spans="1:9" ht="12" customHeight="1" x14ac:dyDescent="0.2">
      <c r="A553" s="56"/>
      <c r="B553" s="122"/>
      <c r="C553" s="156"/>
      <c r="D553" s="59"/>
      <c r="E553" s="262"/>
      <c r="F553" s="265"/>
      <c r="G553" s="266"/>
    </row>
    <row r="554" spans="1:9" ht="12" customHeight="1" x14ac:dyDescent="0.2">
      <c r="A554" s="56"/>
      <c r="B554" s="122"/>
      <c r="C554" s="156"/>
      <c r="D554" s="59"/>
      <c r="E554" s="262"/>
      <c r="F554" s="265"/>
      <c r="G554" s="266"/>
    </row>
    <row r="555" spans="1:9" ht="12" customHeight="1" x14ac:dyDescent="0.2">
      <c r="A555" s="56"/>
      <c r="B555" s="122"/>
      <c r="C555" s="156"/>
      <c r="D555" s="59"/>
      <c r="E555" s="262"/>
      <c r="F555" s="265"/>
      <c r="G555" s="266"/>
    </row>
    <row r="556" spans="1:9" ht="12" customHeight="1" x14ac:dyDescent="0.2">
      <c r="A556" s="56"/>
      <c r="B556" s="122"/>
      <c r="C556" s="156"/>
      <c r="D556" s="59"/>
      <c r="E556" s="262"/>
      <c r="F556" s="265"/>
      <c r="G556" s="266"/>
    </row>
    <row r="557" spans="1:9" ht="12" customHeight="1" x14ac:dyDescent="0.2">
      <c r="A557" s="56"/>
      <c r="B557" s="122"/>
      <c r="C557" s="156"/>
      <c r="D557" s="59"/>
      <c r="E557" s="262"/>
      <c r="F557" s="265"/>
      <c r="G557" s="266"/>
    </row>
    <row r="558" spans="1:9" ht="12" customHeight="1" x14ac:dyDescent="0.2">
      <c r="A558" s="56"/>
      <c r="B558" s="122"/>
      <c r="C558" s="156"/>
      <c r="D558" s="59"/>
      <c r="E558" s="262"/>
      <c r="F558" s="265"/>
      <c r="G558" s="266"/>
    </row>
    <row r="559" spans="1:9" ht="12" customHeight="1" x14ac:dyDescent="0.2">
      <c r="A559" s="56"/>
      <c r="B559" s="122"/>
      <c r="C559" s="156"/>
      <c r="D559" s="59"/>
      <c r="E559" s="262"/>
      <c r="F559" s="265"/>
      <c r="G559" s="266"/>
    </row>
    <row r="560" spans="1:9" ht="12.75" thickBot="1" x14ac:dyDescent="0.25">
      <c r="A560" s="56"/>
      <c r="B560" s="122"/>
      <c r="C560" s="156"/>
      <c r="D560" s="59"/>
      <c r="E560" s="262"/>
      <c r="F560" s="265"/>
      <c r="G560" s="266"/>
    </row>
    <row r="561" spans="1:7" x14ac:dyDescent="0.2">
      <c r="A561" s="239"/>
      <c r="B561" s="236" t="s">
        <v>191</v>
      </c>
      <c r="C561" s="240"/>
      <c r="D561" s="350"/>
      <c r="E561" s="337"/>
      <c r="F561" s="338"/>
      <c r="G561" s="339"/>
    </row>
    <row r="562" spans="1:7" ht="12.75" thickBot="1" x14ac:dyDescent="0.25">
      <c r="A562" s="242"/>
      <c r="B562" s="197" t="s">
        <v>118</v>
      </c>
      <c r="C562" s="243"/>
      <c r="D562" s="351"/>
      <c r="E562" s="334"/>
      <c r="F562" s="340"/>
      <c r="G562" s="341">
        <f>SUM(G537:G561)</f>
        <v>0</v>
      </c>
    </row>
    <row r="563" spans="1:7" x14ac:dyDescent="0.2">
      <c r="A563" s="56"/>
      <c r="B563" s="146"/>
      <c r="C563" s="58"/>
      <c r="D563" s="59"/>
      <c r="E563" s="262"/>
      <c r="F563" s="265"/>
      <c r="G563" s="266"/>
    </row>
    <row r="564" spans="1:7" x14ac:dyDescent="0.2">
      <c r="A564" s="56"/>
      <c r="B564" s="116" t="s">
        <v>119</v>
      </c>
      <c r="C564" s="58"/>
      <c r="D564" s="59"/>
      <c r="E564" s="262"/>
      <c r="F564" s="265"/>
      <c r="G564" s="266"/>
    </row>
    <row r="565" spans="1:7" ht="13.5" customHeight="1" x14ac:dyDescent="0.2">
      <c r="A565" s="56"/>
      <c r="B565" s="80" t="s">
        <v>124</v>
      </c>
      <c r="C565" s="58"/>
      <c r="D565" s="59"/>
      <c r="E565" s="262"/>
      <c r="F565" s="265"/>
      <c r="G565" s="266"/>
    </row>
    <row r="566" spans="1:7" x14ac:dyDescent="0.2">
      <c r="A566" s="56" t="s">
        <v>120</v>
      </c>
      <c r="B566" s="64" t="s">
        <v>40</v>
      </c>
      <c r="C566" s="58"/>
      <c r="D566" s="59"/>
      <c r="E566" s="262"/>
      <c r="F566" s="265"/>
      <c r="G566" s="266"/>
    </row>
    <row r="567" spans="1:7" ht="36" x14ac:dyDescent="0.2">
      <c r="A567" s="56"/>
      <c r="B567" s="102" t="s">
        <v>157</v>
      </c>
      <c r="C567" s="117"/>
      <c r="D567" s="117"/>
      <c r="E567" s="291"/>
      <c r="F567" s="291"/>
      <c r="G567" s="292"/>
    </row>
    <row r="568" spans="1:7" ht="48" x14ac:dyDescent="0.2">
      <c r="A568" s="79"/>
      <c r="B568" s="102" t="s">
        <v>156</v>
      </c>
      <c r="C568" s="117"/>
      <c r="D568" s="117"/>
      <c r="E568" s="291"/>
      <c r="F568" s="291"/>
      <c r="G568" s="292"/>
    </row>
    <row r="569" spans="1:7" ht="24" x14ac:dyDescent="0.2">
      <c r="A569" s="56"/>
      <c r="B569" s="102" t="s">
        <v>244</v>
      </c>
      <c r="C569" s="117"/>
      <c r="D569" s="117"/>
      <c r="E569" s="291"/>
      <c r="F569" s="291"/>
      <c r="G569" s="292"/>
    </row>
    <row r="570" spans="1:7" ht="84" x14ac:dyDescent="0.2">
      <c r="A570" s="56"/>
      <c r="B570" s="102" t="s">
        <v>155</v>
      </c>
      <c r="C570" s="117"/>
      <c r="D570" s="117"/>
      <c r="E570" s="291"/>
      <c r="F570" s="291"/>
      <c r="G570" s="292"/>
    </row>
    <row r="571" spans="1:7" ht="24" x14ac:dyDescent="0.2">
      <c r="A571" s="56"/>
      <c r="B571" s="102" t="s">
        <v>245</v>
      </c>
      <c r="C571" s="117"/>
      <c r="D571" s="117"/>
      <c r="E571" s="291"/>
      <c r="F571" s="291"/>
      <c r="G571" s="292"/>
    </row>
    <row r="572" spans="1:7" x14ac:dyDescent="0.2">
      <c r="A572" s="374" t="s">
        <v>146</v>
      </c>
      <c r="B572" s="162" t="s">
        <v>65</v>
      </c>
      <c r="C572" s="163"/>
      <c r="D572" s="164"/>
      <c r="E572" s="296"/>
      <c r="F572" s="265"/>
      <c r="G572" s="266"/>
    </row>
    <row r="573" spans="1:7" s="310" customFormat="1" x14ac:dyDescent="0.2">
      <c r="A573" s="328" t="s">
        <v>162</v>
      </c>
      <c r="B573" s="325" t="s">
        <v>126</v>
      </c>
      <c r="C573" s="317"/>
      <c r="D573" s="326"/>
      <c r="E573" s="262"/>
      <c r="F573" s="285"/>
      <c r="G573" s="293"/>
    </row>
    <row r="574" spans="1:7" x14ac:dyDescent="0.2">
      <c r="A574" s="166" t="s">
        <v>182</v>
      </c>
      <c r="B574" s="112" t="s">
        <v>201</v>
      </c>
      <c r="C574" s="153" t="s">
        <v>14</v>
      </c>
      <c r="D574" s="113">
        <v>1</v>
      </c>
      <c r="E574" s="262"/>
      <c r="F574" s="265"/>
      <c r="G574" s="266">
        <f>(D574*E574)+(D574*F574)</f>
        <v>0</v>
      </c>
    </row>
    <row r="575" spans="1:7" ht="24" x14ac:dyDescent="0.2">
      <c r="A575" s="166" t="s">
        <v>183</v>
      </c>
      <c r="B575" s="112" t="s">
        <v>202</v>
      </c>
      <c r="C575" s="153" t="s">
        <v>14</v>
      </c>
      <c r="D575" s="113">
        <v>1</v>
      </c>
      <c r="E575" s="262"/>
      <c r="F575" s="265"/>
      <c r="G575" s="266">
        <f>(D575*E575)+(D575*F575)</f>
        <v>0</v>
      </c>
    </row>
    <row r="576" spans="1:7" ht="36" x14ac:dyDescent="0.2">
      <c r="A576" s="166" t="s">
        <v>184</v>
      </c>
      <c r="B576" s="112" t="s">
        <v>233</v>
      </c>
      <c r="C576" s="153" t="s">
        <v>110</v>
      </c>
      <c r="D576" s="113">
        <v>1</v>
      </c>
      <c r="E576" s="262"/>
      <c r="F576" s="265"/>
      <c r="G576" s="266">
        <f>(D576*E576)+(D576*F576)</f>
        <v>0</v>
      </c>
    </row>
    <row r="577" spans="1:10" x14ac:dyDescent="0.2">
      <c r="A577" s="375" t="s">
        <v>163</v>
      </c>
      <c r="B577" s="167" t="s">
        <v>127</v>
      </c>
      <c r="C577" s="136"/>
      <c r="D577" s="165"/>
      <c r="E577" s="262"/>
      <c r="F577" s="265"/>
      <c r="G577" s="266"/>
    </row>
    <row r="578" spans="1:10" x14ac:dyDescent="0.2">
      <c r="A578" s="166" t="s">
        <v>162</v>
      </c>
      <c r="B578" s="112" t="s">
        <v>413</v>
      </c>
      <c r="C578" s="153" t="s">
        <v>110</v>
      </c>
      <c r="D578" s="113">
        <v>4</v>
      </c>
      <c r="E578" s="262"/>
      <c r="F578" s="265"/>
      <c r="G578" s="266">
        <f>(D578*E578)+(D578*F578)</f>
        <v>0</v>
      </c>
    </row>
    <row r="579" spans="1:10" x14ac:dyDescent="0.2">
      <c r="A579" s="166" t="s">
        <v>163</v>
      </c>
      <c r="B579" s="112" t="s">
        <v>418</v>
      </c>
      <c r="C579" s="153" t="s">
        <v>110</v>
      </c>
      <c r="D579" s="113">
        <v>1</v>
      </c>
      <c r="E579" s="262"/>
      <c r="F579" s="265"/>
      <c r="G579" s="266">
        <f t="shared" ref="G579:G592" si="97">(D579*E579)+(D579*F579)</f>
        <v>0</v>
      </c>
    </row>
    <row r="580" spans="1:10" x14ac:dyDescent="0.2">
      <c r="A580" s="166" t="s">
        <v>173</v>
      </c>
      <c r="B580" s="112" t="s">
        <v>414</v>
      </c>
      <c r="C580" s="153" t="s">
        <v>110</v>
      </c>
      <c r="D580" s="113">
        <v>1</v>
      </c>
      <c r="E580" s="262"/>
      <c r="F580" s="265"/>
      <c r="G580" s="266">
        <f t="shared" si="97"/>
        <v>0</v>
      </c>
    </row>
    <row r="581" spans="1:10" x14ac:dyDescent="0.2">
      <c r="A581" s="166" t="s">
        <v>174</v>
      </c>
      <c r="B581" s="112" t="s">
        <v>415</v>
      </c>
      <c r="C581" s="153" t="s">
        <v>110</v>
      </c>
      <c r="D581" s="113">
        <v>1</v>
      </c>
      <c r="E581" s="262"/>
      <c r="F581" s="265"/>
      <c r="G581" s="266">
        <f t="shared" si="97"/>
        <v>0</v>
      </c>
    </row>
    <row r="582" spans="1:10" x14ac:dyDescent="0.2">
      <c r="A582" s="166" t="s">
        <v>175</v>
      </c>
      <c r="B582" s="112" t="s">
        <v>416</v>
      </c>
      <c r="C582" s="153" t="s">
        <v>110</v>
      </c>
      <c r="D582" s="113">
        <v>3</v>
      </c>
      <c r="E582" s="262"/>
      <c r="F582" s="265"/>
      <c r="G582" s="266">
        <f t="shared" si="97"/>
        <v>0</v>
      </c>
    </row>
    <row r="583" spans="1:10" x14ac:dyDescent="0.2">
      <c r="A583" s="166" t="s">
        <v>176</v>
      </c>
      <c r="B583" s="112" t="s">
        <v>417</v>
      </c>
      <c r="C583" s="153" t="s">
        <v>110</v>
      </c>
      <c r="D583" s="113">
        <v>2</v>
      </c>
      <c r="E583" s="262"/>
      <c r="F583" s="265"/>
      <c r="G583" s="266">
        <f t="shared" si="97"/>
        <v>0</v>
      </c>
    </row>
    <row r="584" spans="1:10" x14ac:dyDescent="0.2">
      <c r="A584" s="166" t="s">
        <v>177</v>
      </c>
      <c r="B584" s="112" t="s">
        <v>408</v>
      </c>
      <c r="C584" s="153" t="s">
        <v>110</v>
      </c>
      <c r="D584" s="113">
        <v>3</v>
      </c>
      <c r="E584" s="262"/>
      <c r="F584" s="265"/>
      <c r="G584" s="266">
        <f t="shared" si="97"/>
        <v>0</v>
      </c>
    </row>
    <row r="585" spans="1:10" x14ac:dyDescent="0.2">
      <c r="A585" s="166" t="s">
        <v>178</v>
      </c>
      <c r="B585" s="112" t="s">
        <v>409</v>
      </c>
      <c r="C585" s="153" t="s">
        <v>110</v>
      </c>
      <c r="D585" s="113">
        <v>5</v>
      </c>
      <c r="E585" s="262"/>
      <c r="F585" s="265"/>
      <c r="G585" s="266">
        <f t="shared" si="97"/>
        <v>0</v>
      </c>
    </row>
    <row r="586" spans="1:10" x14ac:dyDescent="0.2">
      <c r="A586" s="166" t="s">
        <v>179</v>
      </c>
      <c r="B586" s="112" t="s">
        <v>410</v>
      </c>
      <c r="C586" s="153" t="s">
        <v>110</v>
      </c>
      <c r="D586" s="113">
        <v>3</v>
      </c>
      <c r="E586" s="262"/>
      <c r="F586" s="265"/>
      <c r="G586" s="266">
        <f t="shared" si="97"/>
        <v>0</v>
      </c>
    </row>
    <row r="587" spans="1:10" x14ac:dyDescent="0.2">
      <c r="A587" s="166" t="s">
        <v>340</v>
      </c>
      <c r="B587" s="112" t="s">
        <v>411</v>
      </c>
      <c r="C587" s="153" t="s">
        <v>110</v>
      </c>
      <c r="D587" s="113">
        <v>5</v>
      </c>
      <c r="E587" s="262"/>
      <c r="F587" s="265"/>
      <c r="G587" s="266">
        <f t="shared" si="97"/>
        <v>0</v>
      </c>
    </row>
    <row r="588" spans="1:10" x14ac:dyDescent="0.2">
      <c r="A588" s="166" t="s">
        <v>387</v>
      </c>
      <c r="B588" s="112" t="s">
        <v>412</v>
      </c>
      <c r="C588" s="153" t="s">
        <v>110</v>
      </c>
      <c r="D588" s="113">
        <v>3</v>
      </c>
      <c r="E588" s="262"/>
      <c r="F588" s="265"/>
      <c r="G588" s="266">
        <f t="shared" ref="G588" si="98">(D588*E588)+(D588*F588)</f>
        <v>0</v>
      </c>
    </row>
    <row r="589" spans="1:10" s="310" customFormat="1" x14ac:dyDescent="0.2">
      <c r="A589" s="328" t="s">
        <v>163</v>
      </c>
      <c r="B589" s="159" t="s">
        <v>203</v>
      </c>
      <c r="C589" s="327"/>
      <c r="D589" s="326"/>
      <c r="E589" s="262"/>
      <c r="F589" s="265"/>
      <c r="G589" s="266"/>
    </row>
    <row r="590" spans="1:10" ht="48" x14ac:dyDescent="0.2">
      <c r="A590" s="166" t="s">
        <v>162</v>
      </c>
      <c r="B590" s="112" t="s">
        <v>204</v>
      </c>
      <c r="C590" s="153" t="s">
        <v>14</v>
      </c>
      <c r="D590" s="113">
        <v>1</v>
      </c>
      <c r="E590" s="262"/>
      <c r="F590" s="265"/>
      <c r="G590" s="266">
        <f t="shared" si="97"/>
        <v>0</v>
      </c>
    </row>
    <row r="591" spans="1:10" ht="36" x14ac:dyDescent="0.2">
      <c r="A591" s="166" t="s">
        <v>163</v>
      </c>
      <c r="B591" s="112" t="s">
        <v>205</v>
      </c>
      <c r="C591" s="153" t="s">
        <v>14</v>
      </c>
      <c r="D591" s="113">
        <v>1</v>
      </c>
      <c r="E591" s="262"/>
      <c r="F591" s="265"/>
      <c r="G591" s="266">
        <f t="shared" si="97"/>
        <v>0</v>
      </c>
    </row>
    <row r="592" spans="1:10" ht="62.25" customHeight="1" x14ac:dyDescent="0.2">
      <c r="A592" s="166" t="s">
        <v>173</v>
      </c>
      <c r="B592" s="112" t="s">
        <v>312</v>
      </c>
      <c r="C592" s="73" t="s">
        <v>14</v>
      </c>
      <c r="D592" s="113">
        <v>1</v>
      </c>
      <c r="E592" s="262"/>
      <c r="F592" s="265"/>
      <c r="G592" s="266">
        <f t="shared" si="97"/>
        <v>0</v>
      </c>
      <c r="I592" s="26"/>
      <c r="J592" s="26"/>
    </row>
    <row r="593" spans="1:10" ht="12.75" customHeight="1" x14ac:dyDescent="0.2">
      <c r="A593" s="166"/>
      <c r="B593" s="112"/>
      <c r="C593" s="73"/>
      <c r="D593" s="113"/>
      <c r="E593" s="262"/>
      <c r="F593" s="265"/>
      <c r="G593" s="266"/>
      <c r="I593" s="26"/>
      <c r="J593" s="26"/>
    </row>
    <row r="594" spans="1:10" ht="12.75" customHeight="1" x14ac:dyDescent="0.2">
      <c r="A594" s="166"/>
      <c r="B594" s="112"/>
      <c r="C594" s="73"/>
      <c r="D594" s="113"/>
      <c r="E594" s="262"/>
      <c r="F594" s="265"/>
      <c r="G594" s="266"/>
      <c r="I594" s="26"/>
      <c r="J594" s="26"/>
    </row>
    <row r="595" spans="1:10" ht="12.75" customHeight="1" thickBot="1" x14ac:dyDescent="0.25">
      <c r="A595" s="203"/>
      <c r="B595" s="204"/>
      <c r="C595" s="198"/>
      <c r="D595" s="205"/>
      <c r="E595" s="262"/>
      <c r="F595" s="265"/>
      <c r="G595" s="266"/>
      <c r="I595" s="26"/>
      <c r="J595" s="26"/>
    </row>
    <row r="596" spans="1:10" ht="12" customHeight="1" x14ac:dyDescent="0.2">
      <c r="A596" s="166"/>
      <c r="B596" s="112"/>
      <c r="C596" s="153"/>
      <c r="D596" s="113"/>
      <c r="E596" s="262"/>
      <c r="F596" s="265"/>
      <c r="G596" s="266"/>
      <c r="I596" s="26"/>
      <c r="J596" s="26"/>
    </row>
    <row r="597" spans="1:10" ht="13.5" customHeight="1" x14ac:dyDescent="0.2">
      <c r="A597" s="374" t="s">
        <v>55</v>
      </c>
      <c r="B597" s="162" t="s">
        <v>67</v>
      </c>
      <c r="C597" s="163"/>
      <c r="D597" s="164"/>
      <c r="E597" s="296"/>
      <c r="F597" s="265"/>
      <c r="G597" s="266"/>
    </row>
    <row r="598" spans="1:10" s="310" customFormat="1" x14ac:dyDescent="0.2">
      <c r="A598" s="328" t="s">
        <v>162</v>
      </c>
      <c r="B598" s="325" t="s">
        <v>126</v>
      </c>
      <c r="C598" s="317"/>
      <c r="D598" s="326"/>
      <c r="E598" s="262"/>
      <c r="F598" s="285"/>
      <c r="G598" s="293"/>
      <c r="I598" s="320"/>
      <c r="J598" s="320"/>
    </row>
    <row r="599" spans="1:10" x14ac:dyDescent="0.2">
      <c r="A599" s="166" t="s">
        <v>182</v>
      </c>
      <c r="B599" s="112" t="s">
        <v>201</v>
      </c>
      <c r="C599" s="153" t="s">
        <v>14</v>
      </c>
      <c r="D599" s="113">
        <v>1</v>
      </c>
      <c r="E599" s="262"/>
      <c r="F599" s="265"/>
      <c r="G599" s="266">
        <f>(D599*E599)+(D599*F599)</f>
        <v>0</v>
      </c>
    </row>
    <row r="600" spans="1:10" ht="24" x14ac:dyDescent="0.2">
      <c r="A600" s="166" t="s">
        <v>183</v>
      </c>
      <c r="B600" s="112" t="s">
        <v>202</v>
      </c>
      <c r="C600" s="153" t="s">
        <v>14</v>
      </c>
      <c r="D600" s="113">
        <v>1</v>
      </c>
      <c r="E600" s="262"/>
      <c r="F600" s="265"/>
      <c r="G600" s="266">
        <f>(D600*E600)+(D600*F600)</f>
        <v>0</v>
      </c>
    </row>
    <row r="601" spans="1:10" s="310" customFormat="1" x14ac:dyDescent="0.2">
      <c r="A601" s="328" t="s">
        <v>163</v>
      </c>
      <c r="B601" s="324" t="s">
        <v>127</v>
      </c>
      <c r="C601" s="317"/>
      <c r="D601" s="326"/>
      <c r="E601" s="262"/>
      <c r="F601" s="265"/>
      <c r="G601" s="266"/>
    </row>
    <row r="602" spans="1:10" s="310" customFormat="1" x14ac:dyDescent="0.2">
      <c r="A602" s="328" t="s">
        <v>162</v>
      </c>
      <c r="B602" s="329" t="s">
        <v>413</v>
      </c>
      <c r="C602" s="123" t="s">
        <v>110</v>
      </c>
      <c r="D602" s="326">
        <v>24</v>
      </c>
      <c r="E602" s="262"/>
      <c r="F602" s="265"/>
      <c r="G602" s="266">
        <f>(D602*E602)+(D602*F602)</f>
        <v>0</v>
      </c>
    </row>
    <row r="603" spans="1:10" s="310" customFormat="1" x14ac:dyDescent="0.2">
      <c r="A603" s="328" t="s">
        <v>173</v>
      </c>
      <c r="B603" s="159" t="s">
        <v>203</v>
      </c>
      <c r="C603" s="327"/>
      <c r="D603" s="326"/>
      <c r="E603" s="262"/>
      <c r="F603" s="265"/>
      <c r="G603" s="266"/>
    </row>
    <row r="604" spans="1:10" ht="48" x14ac:dyDescent="0.2">
      <c r="A604" s="166" t="s">
        <v>162</v>
      </c>
      <c r="B604" s="112" t="s">
        <v>204</v>
      </c>
      <c r="C604" s="153" t="s">
        <v>14</v>
      </c>
      <c r="D604" s="113">
        <v>1</v>
      </c>
      <c r="E604" s="262"/>
      <c r="F604" s="265"/>
      <c r="G604" s="266">
        <f t="shared" ref="G604" si="99">(D604*E604)+(D604*F604)</f>
        <v>0</v>
      </c>
    </row>
    <row r="605" spans="1:10" x14ac:dyDescent="0.2">
      <c r="A605" s="56"/>
      <c r="B605" s="122"/>
      <c r="C605" s="156"/>
      <c r="D605" s="59"/>
      <c r="E605" s="262"/>
      <c r="F605" s="265"/>
      <c r="G605" s="266"/>
    </row>
    <row r="606" spans="1:10" s="310" customFormat="1" x14ac:dyDescent="0.2">
      <c r="A606" s="328"/>
      <c r="B606" s="329"/>
      <c r="C606" s="123"/>
      <c r="D606" s="326"/>
      <c r="E606" s="262"/>
      <c r="F606" s="265"/>
      <c r="G606" s="266"/>
    </row>
    <row r="607" spans="1:10" x14ac:dyDescent="0.2">
      <c r="A607" s="374" t="s">
        <v>148</v>
      </c>
      <c r="B607" s="162" t="s">
        <v>250</v>
      </c>
      <c r="C607" s="163"/>
      <c r="D607" s="164"/>
      <c r="E607" s="296"/>
      <c r="F607" s="265"/>
      <c r="G607" s="266"/>
    </row>
    <row r="608" spans="1:10" s="310" customFormat="1" x14ac:dyDescent="0.2">
      <c r="A608" s="328" t="s">
        <v>162</v>
      </c>
      <c r="B608" s="159" t="s">
        <v>203</v>
      </c>
      <c r="C608" s="327"/>
      <c r="D608" s="326"/>
      <c r="E608" s="262"/>
      <c r="F608" s="265"/>
      <c r="G608" s="266"/>
    </row>
    <row r="609" spans="1:19" ht="48" x14ac:dyDescent="0.2">
      <c r="A609" s="166" t="s">
        <v>162</v>
      </c>
      <c r="B609" s="112" t="s">
        <v>297</v>
      </c>
      <c r="C609" s="153" t="s">
        <v>14</v>
      </c>
      <c r="D609" s="113">
        <v>1</v>
      </c>
      <c r="E609" s="262"/>
      <c r="F609" s="265"/>
      <c r="G609" s="266">
        <f t="shared" ref="G609" si="100">(D609*E609)+(D609*F609)</f>
        <v>0</v>
      </c>
    </row>
    <row r="610" spans="1:19" x14ac:dyDescent="0.2">
      <c r="A610" s="56"/>
      <c r="B610" s="122"/>
      <c r="C610" s="156"/>
      <c r="D610" s="59"/>
      <c r="E610" s="262"/>
      <c r="F610" s="265"/>
      <c r="G610" s="266"/>
    </row>
    <row r="611" spans="1:19" x14ac:dyDescent="0.2">
      <c r="A611" s="56"/>
      <c r="B611" s="122"/>
      <c r="C611" s="156"/>
      <c r="D611" s="59"/>
      <c r="E611" s="262"/>
      <c r="F611" s="265"/>
      <c r="G611" s="266"/>
    </row>
    <row r="612" spans="1:19" x14ac:dyDescent="0.2">
      <c r="A612" s="56"/>
      <c r="B612" s="122"/>
      <c r="C612" s="156"/>
      <c r="D612" s="59"/>
      <c r="E612" s="262"/>
      <c r="F612" s="265"/>
      <c r="G612" s="266"/>
    </row>
    <row r="613" spans="1:19" x14ac:dyDescent="0.2">
      <c r="A613" s="56"/>
      <c r="B613" s="122"/>
      <c r="C613" s="156"/>
      <c r="D613" s="59"/>
      <c r="E613" s="262"/>
      <c r="F613" s="265"/>
      <c r="G613" s="266"/>
    </row>
    <row r="614" spans="1:19" x14ac:dyDescent="0.2">
      <c r="A614" s="56"/>
      <c r="B614" s="122"/>
      <c r="C614" s="156"/>
      <c r="D614" s="59"/>
      <c r="E614" s="262"/>
      <c r="F614" s="265"/>
      <c r="G614" s="266"/>
    </row>
    <row r="615" spans="1:19" x14ac:dyDescent="0.2">
      <c r="A615" s="56"/>
      <c r="B615" s="122"/>
      <c r="C615" s="156"/>
      <c r="D615" s="59"/>
      <c r="E615" s="262"/>
      <c r="F615" s="265"/>
      <c r="G615" s="266"/>
    </row>
    <row r="616" spans="1:19" x14ac:dyDescent="0.2">
      <c r="A616" s="56"/>
      <c r="B616" s="122"/>
      <c r="C616" s="156"/>
      <c r="D616" s="59"/>
      <c r="E616" s="262"/>
      <c r="F616" s="265"/>
      <c r="G616" s="266"/>
    </row>
    <row r="617" spans="1:19" x14ac:dyDescent="0.2">
      <c r="A617" s="56"/>
      <c r="B617" s="122"/>
      <c r="C617" s="156"/>
      <c r="D617" s="59"/>
      <c r="E617" s="262"/>
      <c r="F617" s="265"/>
      <c r="G617" s="266"/>
    </row>
    <row r="618" spans="1:19" x14ac:dyDescent="0.2">
      <c r="A618" s="56"/>
      <c r="B618" s="122"/>
      <c r="C618" s="156"/>
      <c r="D618" s="59"/>
      <c r="E618" s="262"/>
      <c r="F618" s="265"/>
      <c r="G618" s="266"/>
    </row>
    <row r="619" spans="1:19" x14ac:dyDescent="0.2">
      <c r="A619" s="56"/>
      <c r="B619" s="122"/>
      <c r="C619" s="156"/>
      <c r="D619" s="59"/>
      <c r="E619" s="262"/>
      <c r="F619" s="265"/>
      <c r="G619" s="266"/>
    </row>
    <row r="620" spans="1:19" x14ac:dyDescent="0.2">
      <c r="A620" s="56"/>
      <c r="B620" s="122"/>
      <c r="C620" s="156"/>
      <c r="D620" s="59"/>
      <c r="E620" s="262"/>
      <c r="F620" s="265"/>
      <c r="G620" s="266"/>
    </row>
    <row r="621" spans="1:19" x14ac:dyDescent="0.2">
      <c r="A621" s="56"/>
      <c r="B621" s="122"/>
      <c r="C621" s="156"/>
      <c r="D621" s="59"/>
      <c r="E621" s="262"/>
      <c r="F621" s="265"/>
      <c r="G621" s="266"/>
    </row>
    <row r="622" spans="1:19" x14ac:dyDescent="0.2">
      <c r="A622" s="56"/>
      <c r="B622" s="122"/>
      <c r="C622" s="156"/>
      <c r="D622" s="59"/>
      <c r="E622" s="262"/>
      <c r="F622" s="265"/>
      <c r="G622" s="266"/>
    </row>
    <row r="623" spans="1:19" ht="12" customHeight="1" x14ac:dyDescent="0.2">
      <c r="A623" s="56"/>
      <c r="B623" s="122"/>
      <c r="C623" s="156"/>
      <c r="D623" s="59"/>
      <c r="E623" s="262"/>
      <c r="F623" s="265"/>
      <c r="G623" s="266"/>
    </row>
    <row r="624" spans="1:19" s="30" customFormat="1" ht="12" customHeight="1" x14ac:dyDescent="0.2">
      <c r="A624" s="56"/>
      <c r="B624" s="122"/>
      <c r="C624" s="156"/>
      <c r="D624" s="59"/>
      <c r="E624" s="262"/>
      <c r="F624" s="265"/>
      <c r="G624" s="266"/>
      <c r="H624" s="16"/>
      <c r="I624" s="16"/>
      <c r="J624" s="16"/>
      <c r="K624" s="16"/>
      <c r="L624" s="16"/>
      <c r="M624" s="16"/>
      <c r="N624" s="16"/>
      <c r="O624" s="16"/>
      <c r="P624" s="16"/>
      <c r="Q624" s="16"/>
      <c r="R624" s="16"/>
      <c r="S624" s="16"/>
    </row>
    <row r="625" spans="1:19" s="30" customFormat="1" ht="12" customHeight="1" x14ac:dyDescent="0.2">
      <c r="A625" s="56"/>
      <c r="B625" s="122"/>
      <c r="C625" s="156"/>
      <c r="D625" s="59"/>
      <c r="E625" s="262"/>
      <c r="F625" s="265"/>
      <c r="G625" s="266"/>
      <c r="H625" s="16"/>
      <c r="I625" s="16"/>
      <c r="J625" s="16"/>
      <c r="K625" s="16"/>
      <c r="L625" s="16"/>
      <c r="M625" s="16"/>
      <c r="N625" s="16"/>
      <c r="O625" s="16"/>
      <c r="P625" s="16"/>
      <c r="Q625" s="16"/>
      <c r="R625" s="16"/>
      <c r="S625" s="16"/>
    </row>
    <row r="626" spans="1:19" s="30" customFormat="1" ht="12" customHeight="1" x14ac:dyDescent="0.2">
      <c r="A626" s="56"/>
      <c r="B626" s="122"/>
      <c r="C626" s="156"/>
      <c r="D626" s="59"/>
      <c r="E626" s="262"/>
      <c r="F626" s="265"/>
      <c r="G626" s="266"/>
      <c r="H626" s="16"/>
      <c r="I626" s="16"/>
      <c r="J626" s="16"/>
      <c r="K626" s="16"/>
      <c r="L626" s="16"/>
      <c r="M626" s="16"/>
      <c r="N626" s="16"/>
      <c r="O626" s="16"/>
      <c r="P626" s="16"/>
      <c r="Q626" s="16"/>
      <c r="R626" s="16"/>
      <c r="S626" s="16"/>
    </row>
    <row r="627" spans="1:19" s="30" customFormat="1" ht="12" customHeight="1" x14ac:dyDescent="0.2">
      <c r="A627" s="56"/>
      <c r="B627" s="122"/>
      <c r="C627" s="156"/>
      <c r="D627" s="59"/>
      <c r="E627" s="262"/>
      <c r="F627" s="265"/>
      <c r="G627" s="266"/>
      <c r="H627" s="16"/>
      <c r="I627" s="16"/>
      <c r="J627" s="16"/>
      <c r="K627" s="16"/>
      <c r="L627" s="16"/>
      <c r="M627" s="16"/>
      <c r="N627" s="16"/>
      <c r="O627" s="16"/>
      <c r="P627" s="16"/>
      <c r="Q627" s="16"/>
      <c r="R627" s="16"/>
      <c r="S627" s="16"/>
    </row>
    <row r="628" spans="1:19" ht="12" customHeight="1" thickBot="1" x14ac:dyDescent="0.25">
      <c r="A628" s="56"/>
      <c r="B628" s="122"/>
      <c r="C628" s="156"/>
      <c r="D628" s="59"/>
      <c r="E628" s="262"/>
      <c r="F628" s="265"/>
      <c r="G628" s="266"/>
    </row>
    <row r="629" spans="1:19" x14ac:dyDescent="0.2">
      <c r="A629" s="239"/>
      <c r="B629" s="236" t="s">
        <v>192</v>
      </c>
      <c r="C629" s="227"/>
      <c r="D629" s="222"/>
      <c r="E629" s="337"/>
      <c r="F629" s="338"/>
      <c r="G629" s="339"/>
    </row>
    <row r="630" spans="1:19" ht="12.75" thickBot="1" x14ac:dyDescent="0.25">
      <c r="A630" s="242"/>
      <c r="B630" s="197" t="s">
        <v>122</v>
      </c>
      <c r="C630" s="228"/>
      <c r="D630" s="226"/>
      <c r="E630" s="334"/>
      <c r="F630" s="340"/>
      <c r="G630" s="341">
        <f>SUM(G572:G629)</f>
        <v>0</v>
      </c>
    </row>
    <row r="631" spans="1:19" x14ac:dyDescent="0.2">
      <c r="A631" s="168"/>
      <c r="B631" s="101"/>
      <c r="C631" s="156"/>
      <c r="D631" s="59"/>
      <c r="E631" s="262"/>
      <c r="F631" s="265"/>
      <c r="G631" s="266"/>
    </row>
    <row r="632" spans="1:19" x14ac:dyDescent="0.2">
      <c r="A632" s="56"/>
      <c r="B632" s="116" t="s">
        <v>123</v>
      </c>
      <c r="C632" s="156"/>
      <c r="D632" s="59"/>
      <c r="E632" s="262"/>
      <c r="F632" s="265"/>
      <c r="G632" s="266"/>
    </row>
    <row r="633" spans="1:19" x14ac:dyDescent="0.2">
      <c r="A633" s="56"/>
      <c r="B633" s="80" t="s">
        <v>97</v>
      </c>
      <c r="C633" s="58"/>
      <c r="D633" s="59"/>
      <c r="E633" s="262"/>
      <c r="F633" s="265"/>
      <c r="G633" s="266"/>
    </row>
    <row r="634" spans="1:19" x14ac:dyDescent="0.2">
      <c r="A634" s="169" t="s">
        <v>125</v>
      </c>
      <c r="B634" s="64" t="s">
        <v>40</v>
      </c>
      <c r="C634" s="58"/>
      <c r="D634" s="59"/>
      <c r="E634" s="285"/>
      <c r="F634" s="265"/>
      <c r="G634" s="266"/>
    </row>
    <row r="635" spans="1:19" ht="48" x14ac:dyDescent="0.2">
      <c r="A635" s="169"/>
      <c r="B635" s="102" t="s">
        <v>256</v>
      </c>
      <c r="C635" s="117"/>
      <c r="D635" s="117"/>
      <c r="E635" s="291"/>
      <c r="F635" s="291"/>
      <c r="G635" s="292"/>
    </row>
    <row r="636" spans="1:19" ht="48" x14ac:dyDescent="0.2">
      <c r="A636" s="169"/>
      <c r="B636" s="102" t="s">
        <v>257</v>
      </c>
      <c r="C636" s="117"/>
      <c r="D636" s="117"/>
      <c r="E636" s="291"/>
      <c r="F636" s="291"/>
      <c r="G636" s="292"/>
    </row>
    <row r="637" spans="1:19" ht="60" x14ac:dyDescent="0.2">
      <c r="A637" s="169"/>
      <c r="B637" s="102" t="s">
        <v>255</v>
      </c>
      <c r="C637" s="117"/>
      <c r="D637" s="117"/>
      <c r="E637" s="291"/>
      <c r="F637" s="291"/>
      <c r="G637" s="292"/>
    </row>
    <row r="638" spans="1:19" ht="48" x14ac:dyDescent="0.2">
      <c r="A638" s="170"/>
      <c r="B638" s="102" t="s">
        <v>180</v>
      </c>
      <c r="C638" s="117"/>
      <c r="D638" s="117"/>
      <c r="E638" s="291"/>
      <c r="F638" s="291"/>
      <c r="G638" s="292"/>
    </row>
    <row r="639" spans="1:19" ht="24" x14ac:dyDescent="0.2">
      <c r="A639" s="169"/>
      <c r="B639" s="140" t="s">
        <v>254</v>
      </c>
      <c r="C639" s="117"/>
      <c r="D639" s="117"/>
      <c r="E639" s="291"/>
      <c r="F639" s="291"/>
      <c r="G639" s="292"/>
    </row>
    <row r="640" spans="1:19" x14ac:dyDescent="0.2">
      <c r="A640" s="376" t="s">
        <v>146</v>
      </c>
      <c r="B640" s="171" t="s">
        <v>65</v>
      </c>
      <c r="C640" s="172"/>
      <c r="D640" s="173"/>
      <c r="E640" s="296"/>
      <c r="F640" s="265"/>
      <c r="G640" s="266"/>
    </row>
    <row r="641" spans="1:19" s="30" customFormat="1" ht="15.75" customHeight="1" x14ac:dyDescent="0.2">
      <c r="A641" s="175" t="s">
        <v>162</v>
      </c>
      <c r="B641" s="174" t="s">
        <v>211</v>
      </c>
      <c r="C641" s="129"/>
      <c r="D641" s="130"/>
      <c r="E641" s="262"/>
      <c r="F641" s="265"/>
      <c r="G641" s="266"/>
      <c r="H641" s="16"/>
      <c r="I641" s="16"/>
      <c r="J641" s="16"/>
      <c r="K641" s="16"/>
      <c r="L641" s="16"/>
      <c r="M641" s="16"/>
      <c r="N641" s="16"/>
      <c r="O641" s="16"/>
      <c r="P641" s="16"/>
      <c r="Q641" s="16"/>
      <c r="R641" s="16"/>
      <c r="S641" s="16"/>
    </row>
    <row r="642" spans="1:19" ht="25.5" x14ac:dyDescent="0.2">
      <c r="A642" s="175" t="s">
        <v>348</v>
      </c>
      <c r="B642" s="176" t="s">
        <v>246</v>
      </c>
      <c r="C642" s="177" t="s">
        <v>8</v>
      </c>
      <c r="D642" s="178">
        <v>1</v>
      </c>
      <c r="E642" s="300"/>
      <c r="F642" s="300"/>
      <c r="G642" s="301">
        <f>+D642*E642+D642*F642</f>
        <v>0</v>
      </c>
    </row>
    <row r="643" spans="1:19" ht="25.5" x14ac:dyDescent="0.2">
      <c r="A643" s="175" t="s">
        <v>349</v>
      </c>
      <c r="B643" s="179" t="s">
        <v>341</v>
      </c>
      <c r="C643" s="177"/>
      <c r="D643" s="178"/>
      <c r="E643" s="262"/>
      <c r="F643" s="300"/>
      <c r="G643" s="301"/>
    </row>
    <row r="644" spans="1:19" ht="12.75" x14ac:dyDescent="0.2">
      <c r="A644" s="175" t="s">
        <v>350</v>
      </c>
      <c r="B644" s="179" t="s">
        <v>352</v>
      </c>
      <c r="C644" s="177" t="s">
        <v>8</v>
      </c>
      <c r="D644" s="178">
        <v>1</v>
      </c>
      <c r="E644" s="262"/>
      <c r="F644" s="300"/>
      <c r="G644" s="301">
        <f t="shared" ref="G644:G645" si="101">+D644*E644+D644*F644</f>
        <v>0</v>
      </c>
    </row>
    <row r="645" spans="1:19" ht="12.75" x14ac:dyDescent="0.2">
      <c r="A645" s="175" t="s">
        <v>351</v>
      </c>
      <c r="B645" s="179" t="s">
        <v>353</v>
      </c>
      <c r="C645" s="177" t="s">
        <v>8</v>
      </c>
      <c r="D645" s="178">
        <v>1</v>
      </c>
      <c r="E645" s="262"/>
      <c r="F645" s="300"/>
      <c r="G645" s="301">
        <f t="shared" si="101"/>
        <v>0</v>
      </c>
    </row>
    <row r="646" spans="1:19" ht="12.75" x14ac:dyDescent="0.2">
      <c r="A646" s="175"/>
      <c r="B646" s="179"/>
      <c r="C646" s="177"/>
      <c r="D646" s="178"/>
      <c r="E646" s="262"/>
      <c r="F646" s="300"/>
      <c r="G646" s="301"/>
    </row>
    <row r="647" spans="1:19" ht="12.75" x14ac:dyDescent="0.2">
      <c r="A647" s="175" t="s">
        <v>163</v>
      </c>
      <c r="B647" s="174" t="s">
        <v>212</v>
      </c>
      <c r="C647" s="180"/>
      <c r="D647" s="181"/>
      <c r="E647" s="262"/>
      <c r="F647" s="300"/>
      <c r="G647" s="284"/>
    </row>
    <row r="648" spans="1:19" ht="12" customHeight="1" x14ac:dyDescent="0.2">
      <c r="A648" s="175"/>
      <c r="B648" s="312" t="s">
        <v>419</v>
      </c>
      <c r="C648" s="129" t="s">
        <v>8</v>
      </c>
      <c r="D648" s="130">
        <v>6</v>
      </c>
      <c r="E648" s="262"/>
      <c r="F648" s="300"/>
      <c r="G648" s="284">
        <f t="shared" ref="G648:G667" si="102">+D648*E648+D648*F648</f>
        <v>0</v>
      </c>
    </row>
    <row r="649" spans="1:19" ht="12" customHeight="1" x14ac:dyDescent="0.2">
      <c r="A649" s="175"/>
      <c r="B649" s="312" t="s">
        <v>420</v>
      </c>
      <c r="C649" s="129" t="s">
        <v>8</v>
      </c>
      <c r="D649" s="130">
        <v>5</v>
      </c>
      <c r="E649" s="262"/>
      <c r="F649" s="300"/>
      <c r="G649" s="284">
        <f t="shared" si="102"/>
        <v>0</v>
      </c>
    </row>
    <row r="650" spans="1:19" ht="12" customHeight="1" x14ac:dyDescent="0.2">
      <c r="A650" s="175"/>
      <c r="B650" s="312" t="s">
        <v>421</v>
      </c>
      <c r="C650" s="129" t="s">
        <v>8</v>
      </c>
      <c r="D650" s="130">
        <v>6</v>
      </c>
      <c r="E650" s="262"/>
      <c r="F650" s="300"/>
      <c r="G650" s="284">
        <f t="shared" si="102"/>
        <v>0</v>
      </c>
    </row>
    <row r="651" spans="1:19" ht="12" customHeight="1" x14ac:dyDescent="0.2">
      <c r="A651" s="175"/>
      <c r="B651" s="312" t="s">
        <v>422</v>
      </c>
      <c r="C651" s="129" t="s">
        <v>8</v>
      </c>
      <c r="D651" s="130">
        <v>18</v>
      </c>
      <c r="E651" s="262"/>
      <c r="F651" s="300"/>
      <c r="G651" s="284">
        <f t="shared" si="102"/>
        <v>0</v>
      </c>
    </row>
    <row r="652" spans="1:19" ht="12" customHeight="1" x14ac:dyDescent="0.2">
      <c r="A652" s="175"/>
      <c r="B652" s="312" t="s">
        <v>423</v>
      </c>
      <c r="C652" s="129" t="s">
        <v>8</v>
      </c>
      <c r="D652" s="130">
        <v>5</v>
      </c>
      <c r="E652" s="262"/>
      <c r="F652" s="300"/>
      <c r="G652" s="284">
        <f t="shared" si="102"/>
        <v>0</v>
      </c>
    </row>
    <row r="653" spans="1:19" ht="12" customHeight="1" x14ac:dyDescent="0.2">
      <c r="A653" s="175"/>
      <c r="B653" s="312" t="s">
        <v>424</v>
      </c>
      <c r="C653" s="129" t="s">
        <v>8</v>
      </c>
      <c r="D653" s="130">
        <v>6</v>
      </c>
      <c r="E653" s="262"/>
      <c r="F653" s="300"/>
      <c r="G653" s="284">
        <f t="shared" si="102"/>
        <v>0</v>
      </c>
    </row>
    <row r="654" spans="1:19" ht="12" customHeight="1" x14ac:dyDescent="0.2">
      <c r="A654" s="175"/>
      <c r="B654" s="312" t="s">
        <v>425</v>
      </c>
      <c r="C654" s="177" t="s">
        <v>8</v>
      </c>
      <c r="D654" s="130">
        <v>6</v>
      </c>
      <c r="E654" s="262"/>
      <c r="F654" s="300"/>
      <c r="G654" s="284">
        <f t="shared" si="102"/>
        <v>0</v>
      </c>
    </row>
    <row r="655" spans="1:19" ht="12" customHeight="1" x14ac:dyDescent="0.2">
      <c r="A655" s="175"/>
      <c r="B655" s="312" t="s">
        <v>426</v>
      </c>
      <c r="C655" s="177" t="s">
        <v>8</v>
      </c>
      <c r="D655" s="130">
        <v>4</v>
      </c>
      <c r="E655" s="262"/>
      <c r="F655" s="300"/>
      <c r="G655" s="284">
        <f t="shared" si="102"/>
        <v>0</v>
      </c>
    </row>
    <row r="656" spans="1:19" ht="12" customHeight="1" x14ac:dyDescent="0.2">
      <c r="A656" s="175"/>
      <c r="B656" s="312" t="s">
        <v>427</v>
      </c>
      <c r="C656" s="177" t="s">
        <v>8</v>
      </c>
      <c r="D656" s="130">
        <v>14</v>
      </c>
      <c r="E656" s="262"/>
      <c r="F656" s="300"/>
      <c r="G656" s="284">
        <f t="shared" si="102"/>
        <v>0</v>
      </c>
    </row>
    <row r="657" spans="1:7" ht="12" customHeight="1" x14ac:dyDescent="0.2">
      <c r="A657" s="175"/>
      <c r="B657" s="312" t="s">
        <v>428</v>
      </c>
      <c r="C657" s="177" t="s">
        <v>8</v>
      </c>
      <c r="D657" s="130">
        <v>12</v>
      </c>
      <c r="E657" s="262"/>
      <c r="F657" s="300"/>
      <c r="G657" s="284">
        <f t="shared" si="102"/>
        <v>0</v>
      </c>
    </row>
    <row r="658" spans="1:7" ht="12" customHeight="1" x14ac:dyDescent="0.2">
      <c r="A658" s="175"/>
      <c r="B658" s="312" t="s">
        <v>429</v>
      </c>
      <c r="C658" s="129" t="s">
        <v>8</v>
      </c>
      <c r="D658" s="130">
        <v>8</v>
      </c>
      <c r="E658" s="262"/>
      <c r="F658" s="300"/>
      <c r="G658" s="284">
        <f t="shared" ref="G658" si="103">+D658*E658+D658*F658</f>
        <v>0</v>
      </c>
    </row>
    <row r="659" spans="1:7" ht="12" customHeight="1" x14ac:dyDescent="0.2">
      <c r="A659" s="175"/>
      <c r="B659" s="312" t="s">
        <v>430</v>
      </c>
      <c r="C659" s="129" t="s">
        <v>8</v>
      </c>
      <c r="D659" s="130">
        <v>28</v>
      </c>
      <c r="E659" s="262"/>
      <c r="F659" s="300"/>
      <c r="G659" s="284">
        <f t="shared" si="102"/>
        <v>0</v>
      </c>
    </row>
    <row r="660" spans="1:7" ht="12" customHeight="1" x14ac:dyDescent="0.2">
      <c r="A660" s="175"/>
      <c r="B660" s="312" t="s">
        <v>431</v>
      </c>
      <c r="C660" s="129" t="s">
        <v>8</v>
      </c>
      <c r="D660" s="130">
        <v>2</v>
      </c>
      <c r="E660" s="262"/>
      <c r="F660" s="300"/>
      <c r="G660" s="284">
        <f t="shared" si="102"/>
        <v>0</v>
      </c>
    </row>
    <row r="661" spans="1:7" ht="12" customHeight="1" x14ac:dyDescent="0.2">
      <c r="A661" s="175"/>
      <c r="B661" s="312" t="s">
        <v>432</v>
      </c>
      <c r="C661" s="129" t="s">
        <v>8</v>
      </c>
      <c r="D661" s="130">
        <v>8</v>
      </c>
      <c r="E661" s="262"/>
      <c r="F661" s="300"/>
      <c r="G661" s="284">
        <f t="shared" si="102"/>
        <v>0</v>
      </c>
    </row>
    <row r="662" spans="1:7" ht="12" customHeight="1" x14ac:dyDescent="0.2">
      <c r="A662" s="175"/>
      <c r="B662" s="312" t="s">
        <v>433</v>
      </c>
      <c r="C662" s="129" t="s">
        <v>8</v>
      </c>
      <c r="D662" s="130">
        <v>10</v>
      </c>
      <c r="E662" s="262"/>
      <c r="F662" s="300"/>
      <c r="G662" s="284">
        <f t="shared" si="102"/>
        <v>0</v>
      </c>
    </row>
    <row r="663" spans="1:7" ht="12.75" x14ac:dyDescent="0.2">
      <c r="A663" s="175" t="s">
        <v>173</v>
      </c>
      <c r="B663" s="174" t="s">
        <v>213</v>
      </c>
      <c r="C663" s="180"/>
      <c r="D663" s="181"/>
      <c r="E663" s="262"/>
      <c r="F663" s="300"/>
      <c r="G663" s="284"/>
    </row>
    <row r="664" spans="1:7" ht="13.5" x14ac:dyDescent="0.2">
      <c r="A664" s="56" t="s">
        <v>162</v>
      </c>
      <c r="B664" s="122" t="s">
        <v>231</v>
      </c>
      <c r="C664" s="156" t="s">
        <v>214</v>
      </c>
      <c r="D664" s="59">
        <v>82</v>
      </c>
      <c r="E664" s="262"/>
      <c r="F664" s="300"/>
      <c r="G664" s="284">
        <f t="shared" si="102"/>
        <v>0</v>
      </c>
    </row>
    <row r="665" spans="1:7" ht="13.5" x14ac:dyDescent="0.2">
      <c r="A665" s="56" t="s">
        <v>163</v>
      </c>
      <c r="B665" s="122" t="s">
        <v>230</v>
      </c>
      <c r="C665" s="156" t="s">
        <v>214</v>
      </c>
      <c r="D665" s="59">
        <v>56</v>
      </c>
      <c r="E665" s="262"/>
      <c r="F665" s="300"/>
      <c r="G665" s="284">
        <f t="shared" si="102"/>
        <v>0</v>
      </c>
    </row>
    <row r="666" spans="1:7" ht="13.5" x14ac:dyDescent="0.2">
      <c r="A666" s="56" t="s">
        <v>173</v>
      </c>
      <c r="B666" s="122" t="s">
        <v>232</v>
      </c>
      <c r="C666" s="156" t="s">
        <v>14</v>
      </c>
      <c r="D666" s="59">
        <v>2</v>
      </c>
      <c r="E666" s="262"/>
      <c r="F666" s="300"/>
      <c r="G666" s="284">
        <f t="shared" si="102"/>
        <v>0</v>
      </c>
    </row>
    <row r="667" spans="1:7" ht="12.75" customHeight="1" x14ac:dyDescent="0.2">
      <c r="A667" s="56" t="s">
        <v>174</v>
      </c>
      <c r="B667" s="122" t="s">
        <v>344</v>
      </c>
      <c r="C667" s="156" t="s">
        <v>110</v>
      </c>
      <c r="D667" s="59">
        <v>10</v>
      </c>
      <c r="E667" s="262"/>
      <c r="F667" s="300"/>
      <c r="G667" s="284">
        <f t="shared" si="102"/>
        <v>0</v>
      </c>
    </row>
    <row r="668" spans="1:7" x14ac:dyDescent="0.2">
      <c r="A668" s="56"/>
      <c r="B668" s="122"/>
      <c r="C668" s="156"/>
      <c r="D668" s="59"/>
      <c r="E668" s="262"/>
      <c r="F668" s="265"/>
      <c r="G668" s="284"/>
    </row>
    <row r="669" spans="1:7" ht="12.75" customHeight="1" x14ac:dyDescent="0.2">
      <c r="A669" s="376" t="s">
        <v>147</v>
      </c>
      <c r="B669" s="171" t="s">
        <v>67</v>
      </c>
      <c r="C669" s="172"/>
      <c r="D669" s="173"/>
      <c r="E669" s="296"/>
      <c r="F669" s="265"/>
      <c r="G669" s="266"/>
    </row>
    <row r="670" spans="1:7" ht="12.75" customHeight="1" x14ac:dyDescent="0.2">
      <c r="A670" s="175" t="s">
        <v>162</v>
      </c>
      <c r="B670" s="174" t="s">
        <v>211</v>
      </c>
      <c r="C670" s="129"/>
      <c r="D670" s="130"/>
      <c r="E670" s="262"/>
      <c r="F670" s="265"/>
      <c r="G670" s="266"/>
    </row>
    <row r="671" spans="1:7" ht="28.5" customHeight="1" x14ac:dyDescent="0.2">
      <c r="A671" s="175" t="s">
        <v>348</v>
      </c>
      <c r="B671" s="179" t="s">
        <v>341</v>
      </c>
      <c r="C671" s="177"/>
      <c r="D671" s="178"/>
      <c r="E671" s="262"/>
      <c r="F671" s="300"/>
      <c r="G671" s="301"/>
    </row>
    <row r="672" spans="1:7" ht="12.75" customHeight="1" x14ac:dyDescent="0.2">
      <c r="A672" s="175" t="s">
        <v>354</v>
      </c>
      <c r="B672" s="179" t="s">
        <v>352</v>
      </c>
      <c r="C672" s="177" t="s">
        <v>8</v>
      </c>
      <c r="D672" s="178">
        <v>1</v>
      </c>
      <c r="E672" s="262"/>
      <c r="F672" s="300"/>
      <c r="G672" s="301">
        <f t="shared" ref="G672:G673" si="104">+D672*E672+D672*F672</f>
        <v>0</v>
      </c>
    </row>
    <row r="673" spans="1:7" ht="12.75" customHeight="1" x14ac:dyDescent="0.2">
      <c r="A673" s="175" t="s">
        <v>355</v>
      </c>
      <c r="B673" s="179" t="s">
        <v>353</v>
      </c>
      <c r="C673" s="177" t="s">
        <v>8</v>
      </c>
      <c r="D673" s="178">
        <v>1</v>
      </c>
      <c r="E673" s="262"/>
      <c r="F673" s="300"/>
      <c r="G673" s="301">
        <f t="shared" si="104"/>
        <v>0</v>
      </c>
    </row>
    <row r="674" spans="1:7" ht="12.75" customHeight="1" x14ac:dyDescent="0.2">
      <c r="A674" s="175" t="s">
        <v>163</v>
      </c>
      <c r="B674" s="174" t="s">
        <v>212</v>
      </c>
      <c r="C674" s="180"/>
      <c r="D674" s="181"/>
      <c r="E674" s="262"/>
      <c r="F674" s="300"/>
      <c r="G674" s="284"/>
    </row>
    <row r="675" spans="1:7" ht="12.75" customHeight="1" x14ac:dyDescent="0.2">
      <c r="A675" s="175"/>
      <c r="B675" s="179" t="s">
        <v>419</v>
      </c>
      <c r="C675" s="129" t="s">
        <v>8</v>
      </c>
      <c r="D675" s="130">
        <v>3</v>
      </c>
      <c r="E675" s="262"/>
      <c r="F675" s="300"/>
      <c r="G675" s="284">
        <f t="shared" ref="G675:G697" si="105">+D675*E675+D675*F675</f>
        <v>0</v>
      </c>
    </row>
    <row r="676" spans="1:7" ht="12.75" customHeight="1" x14ac:dyDescent="0.2">
      <c r="A676" s="175"/>
      <c r="B676" s="179" t="s">
        <v>420</v>
      </c>
      <c r="C676" s="129" t="s">
        <v>8</v>
      </c>
      <c r="D676" s="130">
        <v>2</v>
      </c>
      <c r="E676" s="262"/>
      <c r="F676" s="300"/>
      <c r="G676" s="284">
        <f t="shared" si="105"/>
        <v>0</v>
      </c>
    </row>
    <row r="677" spans="1:7" ht="12.75" customHeight="1" x14ac:dyDescent="0.2">
      <c r="A677" s="175"/>
      <c r="B677" s="179" t="s">
        <v>422</v>
      </c>
      <c r="C677" s="129" t="s">
        <v>8</v>
      </c>
      <c r="D677" s="130">
        <v>14</v>
      </c>
      <c r="E677" s="262"/>
      <c r="F677" s="300"/>
      <c r="G677" s="284">
        <f t="shared" si="105"/>
        <v>0</v>
      </c>
    </row>
    <row r="678" spans="1:7" ht="12.75" customHeight="1" x14ac:dyDescent="0.2">
      <c r="A678" s="175"/>
      <c r="B678" s="179" t="s">
        <v>434</v>
      </c>
      <c r="C678" s="129" t="s">
        <v>8</v>
      </c>
      <c r="D678" s="130">
        <v>52</v>
      </c>
      <c r="E678" s="262"/>
      <c r="F678" s="300"/>
      <c r="G678" s="284">
        <f t="shared" si="105"/>
        <v>0</v>
      </c>
    </row>
    <row r="679" spans="1:7" ht="12.75" customHeight="1" x14ac:dyDescent="0.2">
      <c r="A679" s="175"/>
      <c r="B679" s="179" t="s">
        <v>435</v>
      </c>
      <c r="C679" s="129" t="s">
        <v>8</v>
      </c>
      <c r="D679" s="130">
        <v>40</v>
      </c>
      <c r="E679" s="262"/>
      <c r="F679" s="300"/>
      <c r="G679" s="284">
        <f t="shared" si="105"/>
        <v>0</v>
      </c>
    </row>
    <row r="680" spans="1:7" ht="12.75" customHeight="1" x14ac:dyDescent="0.2">
      <c r="A680" s="175"/>
      <c r="B680" s="179" t="s">
        <v>424</v>
      </c>
      <c r="C680" s="129" t="s">
        <v>8</v>
      </c>
      <c r="D680" s="130">
        <v>2</v>
      </c>
      <c r="E680" s="262"/>
      <c r="F680" s="300"/>
      <c r="G680" s="284">
        <f t="shared" si="105"/>
        <v>0</v>
      </c>
    </row>
    <row r="681" spans="1:7" ht="12.75" customHeight="1" x14ac:dyDescent="0.2">
      <c r="A681" s="175"/>
      <c r="B681" s="179" t="s">
        <v>426</v>
      </c>
      <c r="C681" s="177" t="s">
        <v>8</v>
      </c>
      <c r="D681" s="130">
        <v>1</v>
      </c>
      <c r="E681" s="262"/>
      <c r="F681" s="300"/>
      <c r="G681" s="284">
        <f t="shared" si="105"/>
        <v>0</v>
      </c>
    </row>
    <row r="682" spans="1:7" ht="12.75" customHeight="1" x14ac:dyDescent="0.2">
      <c r="A682" s="175"/>
      <c r="B682" s="179" t="s">
        <v>429</v>
      </c>
      <c r="C682" s="177" t="s">
        <v>8</v>
      </c>
      <c r="D682" s="130">
        <v>5</v>
      </c>
      <c r="E682" s="262"/>
      <c r="F682" s="300"/>
      <c r="G682" s="284">
        <f t="shared" si="105"/>
        <v>0</v>
      </c>
    </row>
    <row r="683" spans="1:7" ht="12.75" customHeight="1" x14ac:dyDescent="0.2">
      <c r="A683" s="175"/>
      <c r="B683" s="179" t="s">
        <v>430</v>
      </c>
      <c r="C683" s="177" t="s">
        <v>8</v>
      </c>
      <c r="D683" s="130">
        <v>13</v>
      </c>
      <c r="E683" s="262"/>
      <c r="F683" s="300"/>
      <c r="G683" s="284">
        <f t="shared" si="105"/>
        <v>0</v>
      </c>
    </row>
    <row r="684" spans="1:7" ht="12.75" customHeight="1" x14ac:dyDescent="0.2">
      <c r="A684" s="175"/>
      <c r="B684" s="179" t="s">
        <v>431</v>
      </c>
      <c r="C684" s="177" t="s">
        <v>8</v>
      </c>
      <c r="D684" s="130">
        <v>1</v>
      </c>
      <c r="E684" s="262"/>
      <c r="F684" s="300"/>
      <c r="G684" s="284">
        <f t="shared" si="105"/>
        <v>0</v>
      </c>
    </row>
    <row r="685" spans="1:7" ht="12.75" customHeight="1" x14ac:dyDescent="0.2">
      <c r="A685" s="175"/>
      <c r="B685" s="179" t="s">
        <v>436</v>
      </c>
      <c r="C685" s="129" t="s">
        <v>8</v>
      </c>
      <c r="D685" s="130">
        <v>1</v>
      </c>
      <c r="E685" s="262"/>
      <c r="F685" s="300"/>
      <c r="G685" s="284">
        <f t="shared" si="105"/>
        <v>0</v>
      </c>
    </row>
    <row r="686" spans="1:7" ht="12.75" customHeight="1" x14ac:dyDescent="0.2">
      <c r="A686" s="175"/>
      <c r="B686" s="179" t="s">
        <v>432</v>
      </c>
      <c r="C686" s="129" t="s">
        <v>8</v>
      </c>
      <c r="D686" s="130">
        <v>5</v>
      </c>
      <c r="E686" s="262"/>
      <c r="F686" s="300"/>
      <c r="G686" s="284">
        <f t="shared" si="105"/>
        <v>0</v>
      </c>
    </row>
    <row r="687" spans="1:7" ht="12.75" customHeight="1" x14ac:dyDescent="0.2">
      <c r="A687" s="175"/>
      <c r="B687" s="179" t="s">
        <v>437</v>
      </c>
      <c r="C687" s="129" t="s">
        <v>8</v>
      </c>
      <c r="D687" s="130">
        <v>1</v>
      </c>
      <c r="E687" s="262"/>
      <c r="F687" s="300"/>
      <c r="G687" s="284">
        <f t="shared" si="105"/>
        <v>0</v>
      </c>
    </row>
    <row r="688" spans="1:7" ht="12.75" customHeight="1" x14ac:dyDescent="0.2">
      <c r="A688" s="175"/>
      <c r="B688" s="179" t="s">
        <v>438</v>
      </c>
      <c r="C688" s="129" t="s">
        <v>8</v>
      </c>
      <c r="D688" s="130">
        <v>1</v>
      </c>
      <c r="E688" s="262"/>
      <c r="F688" s="300"/>
      <c r="G688" s="284">
        <f t="shared" si="105"/>
        <v>0</v>
      </c>
    </row>
    <row r="689" spans="1:9" ht="12.75" customHeight="1" x14ac:dyDescent="0.2">
      <c r="A689" s="175"/>
      <c r="B689" s="179" t="s">
        <v>433</v>
      </c>
      <c r="C689" s="129" t="s">
        <v>8</v>
      </c>
      <c r="D689" s="130">
        <v>4</v>
      </c>
      <c r="E689" s="262"/>
      <c r="F689" s="300"/>
      <c r="G689" s="284">
        <f t="shared" si="105"/>
        <v>0</v>
      </c>
    </row>
    <row r="690" spans="1:9" ht="12.75" customHeight="1" x14ac:dyDescent="0.2">
      <c r="A690" s="175"/>
      <c r="B690" s="179"/>
      <c r="C690" s="129"/>
      <c r="D690" s="130"/>
      <c r="E690" s="262"/>
      <c r="F690" s="300"/>
      <c r="G690" s="284"/>
    </row>
    <row r="691" spans="1:9" ht="12.75" customHeight="1" x14ac:dyDescent="0.2">
      <c r="A691" s="175" t="s">
        <v>173</v>
      </c>
      <c r="B691" s="174" t="s">
        <v>213</v>
      </c>
      <c r="C691" s="180"/>
      <c r="D691" s="181"/>
      <c r="E691" s="262"/>
      <c r="F691" s="300"/>
      <c r="G691" s="284"/>
    </row>
    <row r="692" spans="1:9" ht="12.75" customHeight="1" x14ac:dyDescent="0.2">
      <c r="A692" s="56" t="s">
        <v>162</v>
      </c>
      <c r="B692" s="122" t="s">
        <v>231</v>
      </c>
      <c r="C692" s="156" t="s">
        <v>214</v>
      </c>
      <c r="D692" s="59">
        <v>114</v>
      </c>
      <c r="E692" s="262"/>
      <c r="F692" s="300"/>
      <c r="G692" s="284">
        <f t="shared" si="105"/>
        <v>0</v>
      </c>
    </row>
    <row r="693" spans="1:9" ht="12.75" customHeight="1" x14ac:dyDescent="0.2">
      <c r="A693" s="56" t="s">
        <v>163</v>
      </c>
      <c r="B693" s="122" t="s">
        <v>230</v>
      </c>
      <c r="C693" s="156" t="s">
        <v>214</v>
      </c>
      <c r="D693" s="59">
        <v>31</v>
      </c>
      <c r="E693" s="262"/>
      <c r="F693" s="300"/>
      <c r="G693" s="284">
        <f t="shared" si="105"/>
        <v>0</v>
      </c>
    </row>
    <row r="694" spans="1:9" ht="12.75" customHeight="1" x14ac:dyDescent="0.2">
      <c r="A694" s="56" t="s">
        <v>173</v>
      </c>
      <c r="B694" s="122" t="s">
        <v>232</v>
      </c>
      <c r="C694" s="156" t="s">
        <v>110</v>
      </c>
      <c r="D694" s="59">
        <v>1</v>
      </c>
      <c r="E694" s="262"/>
      <c r="F694" s="300"/>
      <c r="G694" s="284">
        <f t="shared" si="105"/>
        <v>0</v>
      </c>
    </row>
    <row r="695" spans="1:9" ht="12.75" customHeight="1" x14ac:dyDescent="0.2">
      <c r="A695" s="56" t="s">
        <v>174</v>
      </c>
      <c r="B695" s="122" t="s">
        <v>342</v>
      </c>
      <c r="C695" s="156" t="s">
        <v>110</v>
      </c>
      <c r="D695" s="59">
        <v>1</v>
      </c>
      <c r="E695" s="262"/>
      <c r="F695" s="300"/>
      <c r="G695" s="284">
        <f t="shared" si="105"/>
        <v>0</v>
      </c>
    </row>
    <row r="696" spans="1:9" ht="12.75" customHeight="1" x14ac:dyDescent="0.2">
      <c r="A696" s="56" t="s">
        <v>175</v>
      </c>
      <c r="B696" s="122" t="s">
        <v>343</v>
      </c>
      <c r="C696" s="156" t="s">
        <v>110</v>
      </c>
      <c r="D696" s="59">
        <v>1</v>
      </c>
      <c r="E696" s="262"/>
      <c r="F696" s="300"/>
      <c r="G696" s="284">
        <f t="shared" si="105"/>
        <v>0</v>
      </c>
    </row>
    <row r="697" spans="1:9" ht="12.75" customHeight="1" x14ac:dyDescent="0.2">
      <c r="A697" s="56" t="s">
        <v>176</v>
      </c>
      <c r="B697" s="122" t="s">
        <v>344</v>
      </c>
      <c r="C697" s="156" t="s">
        <v>110</v>
      </c>
      <c r="D697" s="59">
        <v>4</v>
      </c>
      <c r="E697" s="262"/>
      <c r="F697" s="300"/>
      <c r="G697" s="284">
        <f t="shared" si="105"/>
        <v>0</v>
      </c>
    </row>
    <row r="698" spans="1:9" ht="12.75" customHeight="1" x14ac:dyDescent="0.2">
      <c r="A698" s="56"/>
      <c r="B698" s="122"/>
      <c r="C698" s="156"/>
      <c r="D698" s="59"/>
      <c r="E698" s="262"/>
      <c r="F698" s="300"/>
      <c r="G698" s="284"/>
    </row>
    <row r="699" spans="1:9" ht="12.75" customHeight="1" x14ac:dyDescent="0.2">
      <c r="A699" s="56"/>
      <c r="B699" s="122"/>
      <c r="C699" s="156"/>
      <c r="D699" s="59"/>
      <c r="E699" s="262"/>
      <c r="F699" s="300"/>
      <c r="G699" s="284"/>
    </row>
    <row r="700" spans="1:9" ht="12.75" customHeight="1" x14ac:dyDescent="0.2">
      <c r="A700" s="175"/>
      <c r="B700" s="179"/>
      <c r="C700" s="177"/>
      <c r="D700" s="178"/>
      <c r="E700" s="262"/>
      <c r="F700" s="300"/>
      <c r="G700" s="284"/>
    </row>
    <row r="701" spans="1:9" ht="12.75" customHeight="1" thickBot="1" x14ac:dyDescent="0.25">
      <c r="A701" s="175"/>
      <c r="B701" s="179"/>
      <c r="C701" s="177"/>
      <c r="D701" s="178"/>
      <c r="E701" s="262"/>
      <c r="F701" s="300"/>
      <c r="G701" s="284"/>
    </row>
    <row r="702" spans="1:9" x14ac:dyDescent="0.2">
      <c r="A702" s="239"/>
      <c r="B702" s="236" t="s">
        <v>181</v>
      </c>
      <c r="C702" s="352"/>
      <c r="D702" s="353"/>
      <c r="E702" s="354"/>
      <c r="F702" s="338"/>
      <c r="G702" s="339"/>
    </row>
    <row r="703" spans="1:9" ht="12.75" thickBot="1" x14ac:dyDescent="0.25">
      <c r="A703" s="242"/>
      <c r="B703" s="197" t="s">
        <v>128</v>
      </c>
      <c r="C703" s="355"/>
      <c r="D703" s="356"/>
      <c r="E703" s="357"/>
      <c r="F703" s="340"/>
      <c r="G703" s="341">
        <f>SUM(G641:G702)</f>
        <v>0</v>
      </c>
      <c r="I703" s="42"/>
    </row>
    <row r="704" spans="1:9" x14ac:dyDescent="0.2">
      <c r="A704" s="182"/>
      <c r="B704" s="116" t="s">
        <v>300</v>
      </c>
      <c r="C704" s="58"/>
      <c r="D704" s="113"/>
      <c r="E704" s="262"/>
      <c r="F704" s="265"/>
      <c r="G704" s="266"/>
    </row>
    <row r="705" spans="1:7" x14ac:dyDescent="0.2">
      <c r="A705" s="182"/>
      <c r="B705" s="80" t="s">
        <v>299</v>
      </c>
      <c r="C705" s="58"/>
      <c r="D705" s="113"/>
      <c r="E705" s="262"/>
      <c r="F705" s="265"/>
      <c r="G705" s="266"/>
    </row>
    <row r="706" spans="1:7" s="310" customFormat="1" x14ac:dyDescent="0.2">
      <c r="A706" s="377">
        <v>12.1</v>
      </c>
      <c r="B706" s="324" t="s">
        <v>301</v>
      </c>
      <c r="C706" s="123"/>
      <c r="D706" s="326"/>
      <c r="E706" s="262"/>
      <c r="F706" s="265"/>
      <c r="G706" s="266"/>
    </row>
    <row r="707" spans="1:7" ht="72" x14ac:dyDescent="0.2">
      <c r="A707" s="182"/>
      <c r="B707" s="122" t="s">
        <v>302</v>
      </c>
      <c r="C707" s="156"/>
      <c r="D707" s="113"/>
      <c r="E707" s="262"/>
      <c r="F707" s="265"/>
      <c r="G707" s="266"/>
    </row>
    <row r="708" spans="1:7" ht="36" x14ac:dyDescent="0.2">
      <c r="A708" s="182"/>
      <c r="B708" s="122" t="s">
        <v>303</v>
      </c>
      <c r="C708" s="156"/>
      <c r="D708" s="113"/>
      <c r="E708" s="262"/>
      <c r="F708" s="265"/>
      <c r="G708" s="266"/>
    </row>
    <row r="709" spans="1:7" ht="24" x14ac:dyDescent="0.2">
      <c r="A709" s="182"/>
      <c r="B709" s="122" t="s">
        <v>304</v>
      </c>
      <c r="C709" s="156"/>
      <c r="D709" s="113"/>
      <c r="E709" s="262"/>
      <c r="F709" s="265"/>
      <c r="G709" s="266"/>
    </row>
    <row r="710" spans="1:7" ht="41.25" customHeight="1" x14ac:dyDescent="0.2">
      <c r="A710" s="182"/>
      <c r="B710" s="122" t="s">
        <v>305</v>
      </c>
      <c r="C710" s="156"/>
      <c r="D710" s="113"/>
      <c r="E710" s="262"/>
      <c r="F710" s="265"/>
      <c r="G710" s="266"/>
    </row>
    <row r="711" spans="1:7" x14ac:dyDescent="0.2">
      <c r="A711" s="182">
        <v>12.2</v>
      </c>
      <c r="B711" s="185" t="s">
        <v>306</v>
      </c>
      <c r="C711" s="186"/>
      <c r="D711" s="187"/>
      <c r="E711" s="296"/>
      <c r="F711" s="283"/>
      <c r="G711" s="284"/>
    </row>
    <row r="712" spans="1:7" ht="24" x14ac:dyDescent="0.2">
      <c r="A712" s="182"/>
      <c r="B712" s="122" t="s">
        <v>307</v>
      </c>
      <c r="C712" s="156"/>
      <c r="D712" s="113"/>
      <c r="E712" s="262"/>
      <c r="F712" s="265"/>
      <c r="G712" s="266"/>
    </row>
    <row r="713" spans="1:7" x14ac:dyDescent="0.2">
      <c r="A713" s="378">
        <v>1</v>
      </c>
      <c r="B713" s="188" t="s">
        <v>65</v>
      </c>
      <c r="C713" s="189"/>
      <c r="D713" s="190"/>
      <c r="E713" s="296"/>
      <c r="F713" s="283"/>
      <c r="G713" s="284"/>
    </row>
    <row r="714" spans="1:7" x14ac:dyDescent="0.2">
      <c r="A714" s="379" t="s">
        <v>182</v>
      </c>
      <c r="B714" s="191" t="s">
        <v>306</v>
      </c>
      <c r="C714" s="186"/>
      <c r="D714" s="187"/>
      <c r="E714" s="296"/>
      <c r="F714" s="294"/>
      <c r="G714" s="284"/>
    </row>
    <row r="715" spans="1:7" ht="24" x14ac:dyDescent="0.2">
      <c r="A715" s="182" t="s">
        <v>162</v>
      </c>
      <c r="B715" s="122" t="s">
        <v>439</v>
      </c>
      <c r="C715" s="156" t="s">
        <v>110</v>
      </c>
      <c r="D715" s="113">
        <v>5</v>
      </c>
      <c r="E715" s="262"/>
      <c r="F715" s="265"/>
      <c r="G715" s="284">
        <f t="shared" ref="G715:G723" si="106">+D715*E715+D715*F715</f>
        <v>0</v>
      </c>
    </row>
    <row r="716" spans="1:7" ht="24" x14ac:dyDescent="0.2">
      <c r="A716" s="182" t="s">
        <v>163</v>
      </c>
      <c r="B716" s="122" t="s">
        <v>440</v>
      </c>
      <c r="C716" s="156" t="s">
        <v>110</v>
      </c>
      <c r="D716" s="113">
        <v>5</v>
      </c>
      <c r="E716" s="262"/>
      <c r="F716" s="265"/>
      <c r="G716" s="284">
        <f t="shared" si="106"/>
        <v>0</v>
      </c>
    </row>
    <row r="717" spans="1:7" x14ac:dyDescent="0.2">
      <c r="A717" s="182" t="s">
        <v>173</v>
      </c>
      <c r="B717" s="122" t="s">
        <v>441</v>
      </c>
      <c r="C717" s="156" t="s">
        <v>110</v>
      </c>
      <c r="D717" s="113">
        <v>12</v>
      </c>
      <c r="E717" s="262"/>
      <c r="F717" s="265"/>
      <c r="G717" s="284">
        <f t="shared" si="106"/>
        <v>0</v>
      </c>
    </row>
    <row r="718" spans="1:7" x14ac:dyDescent="0.2">
      <c r="A718" s="182" t="s">
        <v>174</v>
      </c>
      <c r="B718" s="122" t="s">
        <v>442</v>
      </c>
      <c r="C718" s="156" t="s">
        <v>110</v>
      </c>
      <c r="D718" s="113">
        <v>4</v>
      </c>
      <c r="E718" s="262"/>
      <c r="F718" s="265"/>
      <c r="G718" s="284">
        <f t="shared" si="106"/>
        <v>0</v>
      </c>
    </row>
    <row r="719" spans="1:7" x14ac:dyDescent="0.2">
      <c r="A719" s="182" t="s">
        <v>175</v>
      </c>
      <c r="B719" s="122" t="s">
        <v>443</v>
      </c>
      <c r="C719" s="156" t="s">
        <v>110</v>
      </c>
      <c r="D719" s="113">
        <v>2</v>
      </c>
      <c r="E719" s="262"/>
      <c r="F719" s="265"/>
      <c r="G719" s="284">
        <f t="shared" si="106"/>
        <v>0</v>
      </c>
    </row>
    <row r="720" spans="1:7" x14ac:dyDescent="0.2">
      <c r="A720" s="182" t="s">
        <v>176</v>
      </c>
      <c r="B720" s="122" t="s">
        <v>444</v>
      </c>
      <c r="C720" s="156" t="s">
        <v>110</v>
      </c>
      <c r="D720" s="113">
        <v>1</v>
      </c>
      <c r="E720" s="262"/>
      <c r="F720" s="265"/>
      <c r="G720" s="284">
        <f t="shared" si="106"/>
        <v>0</v>
      </c>
    </row>
    <row r="721" spans="1:7" x14ac:dyDescent="0.2">
      <c r="A721" s="182" t="s">
        <v>177</v>
      </c>
      <c r="B721" s="122" t="s">
        <v>445</v>
      </c>
      <c r="C721" s="156" t="s">
        <v>110</v>
      </c>
      <c r="D721" s="113">
        <v>1</v>
      </c>
      <c r="E721" s="262"/>
      <c r="F721" s="265"/>
      <c r="G721" s="284">
        <f t="shared" si="106"/>
        <v>0</v>
      </c>
    </row>
    <row r="722" spans="1:7" x14ac:dyDescent="0.2">
      <c r="A722" s="182" t="s">
        <v>178</v>
      </c>
      <c r="B722" s="122" t="s">
        <v>446</v>
      </c>
      <c r="C722" s="156" t="s">
        <v>110</v>
      </c>
      <c r="D722" s="113">
        <v>12</v>
      </c>
      <c r="E722" s="262"/>
      <c r="F722" s="265"/>
      <c r="G722" s="284">
        <f t="shared" si="106"/>
        <v>0</v>
      </c>
    </row>
    <row r="723" spans="1:7" x14ac:dyDescent="0.2">
      <c r="A723" s="182" t="s">
        <v>179</v>
      </c>
      <c r="B723" s="122" t="s">
        <v>447</v>
      </c>
      <c r="C723" s="156" t="s">
        <v>110</v>
      </c>
      <c r="D723" s="113">
        <v>1</v>
      </c>
      <c r="E723" s="296"/>
      <c r="F723" s="283"/>
      <c r="G723" s="284">
        <f t="shared" si="106"/>
        <v>0</v>
      </c>
    </row>
    <row r="724" spans="1:7" x14ac:dyDescent="0.2">
      <c r="A724" s="378">
        <v>2</v>
      </c>
      <c r="B724" s="188" t="s">
        <v>67</v>
      </c>
      <c r="C724" s="189"/>
      <c r="D724" s="190"/>
      <c r="E724" s="296"/>
      <c r="F724" s="283"/>
      <c r="G724" s="284"/>
    </row>
    <row r="725" spans="1:7" x14ac:dyDescent="0.2">
      <c r="A725" s="379" t="s">
        <v>182</v>
      </c>
      <c r="B725" s="191" t="s">
        <v>306</v>
      </c>
      <c r="C725" s="186"/>
      <c r="D725" s="187"/>
      <c r="E725" s="296"/>
      <c r="F725" s="294"/>
      <c r="G725" s="284"/>
    </row>
    <row r="726" spans="1:7" ht="24" x14ac:dyDescent="0.2">
      <c r="A726" s="182" t="s">
        <v>162</v>
      </c>
      <c r="B726" s="122" t="s">
        <v>439</v>
      </c>
      <c r="C726" s="156" t="s">
        <v>110</v>
      </c>
      <c r="D726" s="113">
        <v>3</v>
      </c>
      <c r="E726" s="262"/>
      <c r="F726" s="265"/>
      <c r="G726" s="284">
        <f t="shared" ref="G726:G732" si="107">+D726*E726+D726*F726</f>
        <v>0</v>
      </c>
    </row>
    <row r="727" spans="1:7" ht="24" x14ac:dyDescent="0.2">
      <c r="A727" s="182" t="s">
        <v>163</v>
      </c>
      <c r="B727" s="122" t="s">
        <v>440</v>
      </c>
      <c r="C727" s="156" t="s">
        <v>110</v>
      </c>
      <c r="D727" s="113">
        <v>3</v>
      </c>
      <c r="E727" s="262"/>
      <c r="F727" s="265"/>
      <c r="G727" s="284">
        <f t="shared" si="107"/>
        <v>0</v>
      </c>
    </row>
    <row r="728" spans="1:7" x14ac:dyDescent="0.2">
      <c r="A728" s="182" t="s">
        <v>173</v>
      </c>
      <c r="B728" s="122" t="s">
        <v>441</v>
      </c>
      <c r="C728" s="156" t="s">
        <v>110</v>
      </c>
      <c r="D728" s="113">
        <v>7</v>
      </c>
      <c r="E728" s="262"/>
      <c r="F728" s="265"/>
      <c r="G728" s="284">
        <f t="shared" si="107"/>
        <v>0</v>
      </c>
    </row>
    <row r="729" spans="1:7" x14ac:dyDescent="0.2">
      <c r="A729" s="182" t="s">
        <v>174</v>
      </c>
      <c r="B729" s="122" t="s">
        <v>442</v>
      </c>
      <c r="C729" s="156" t="s">
        <v>110</v>
      </c>
      <c r="D729" s="113">
        <v>2</v>
      </c>
      <c r="E729" s="262"/>
      <c r="F729" s="265"/>
      <c r="G729" s="284">
        <f t="shared" si="107"/>
        <v>0</v>
      </c>
    </row>
    <row r="730" spans="1:7" x14ac:dyDescent="0.2">
      <c r="A730" s="182" t="s">
        <v>175</v>
      </c>
      <c r="B730" s="122" t="s">
        <v>443</v>
      </c>
      <c r="C730" s="156" t="s">
        <v>110</v>
      </c>
      <c r="D730" s="113">
        <v>1</v>
      </c>
      <c r="E730" s="262"/>
      <c r="F730" s="265"/>
      <c r="G730" s="284">
        <f t="shared" si="107"/>
        <v>0</v>
      </c>
    </row>
    <row r="731" spans="1:7" x14ac:dyDescent="0.2">
      <c r="A731" s="182" t="s">
        <v>176</v>
      </c>
      <c r="B731" s="122" t="s">
        <v>444</v>
      </c>
      <c r="C731" s="156" t="s">
        <v>110</v>
      </c>
      <c r="D731" s="113">
        <v>1</v>
      </c>
      <c r="E731" s="262"/>
      <c r="F731" s="265"/>
      <c r="G731" s="284">
        <f t="shared" si="107"/>
        <v>0</v>
      </c>
    </row>
    <row r="732" spans="1:7" x14ac:dyDescent="0.2">
      <c r="A732" s="182" t="s">
        <v>177</v>
      </c>
      <c r="B732" s="122" t="s">
        <v>446</v>
      </c>
      <c r="C732" s="156" t="s">
        <v>110</v>
      </c>
      <c r="D732" s="113">
        <v>10</v>
      </c>
      <c r="E732" s="262"/>
      <c r="F732" s="265"/>
      <c r="G732" s="284">
        <f t="shared" si="107"/>
        <v>0</v>
      </c>
    </row>
    <row r="733" spans="1:7" ht="12.75" customHeight="1" x14ac:dyDescent="0.2">
      <c r="A733" s="195"/>
      <c r="B733" s="192"/>
      <c r="C733" s="193"/>
      <c r="D733" s="113"/>
      <c r="E733" s="296"/>
      <c r="F733" s="283"/>
      <c r="G733" s="284"/>
    </row>
    <row r="734" spans="1:7" ht="12.75" customHeight="1" x14ac:dyDescent="0.2">
      <c r="A734" s="195"/>
      <c r="B734" s="192"/>
      <c r="C734" s="193"/>
      <c r="D734" s="187"/>
      <c r="E734" s="296"/>
      <c r="F734" s="283"/>
      <c r="G734" s="284"/>
    </row>
    <row r="735" spans="1:7" ht="12.75" customHeight="1" x14ac:dyDescent="0.2">
      <c r="A735" s="195"/>
      <c r="B735" s="192"/>
      <c r="C735" s="193"/>
      <c r="D735" s="187"/>
      <c r="E735" s="296"/>
      <c r="F735" s="283"/>
      <c r="G735" s="284"/>
    </row>
    <row r="736" spans="1:7" ht="12.75" customHeight="1" x14ac:dyDescent="0.2">
      <c r="A736" s="195"/>
      <c r="B736" s="192"/>
      <c r="C736" s="193"/>
      <c r="D736" s="187"/>
      <c r="E736" s="296"/>
      <c r="F736" s="283"/>
      <c r="G736" s="284"/>
    </row>
    <row r="737" spans="1:7" ht="12.75" customHeight="1" x14ac:dyDescent="0.2">
      <c r="A737" s="195"/>
      <c r="B737" s="192"/>
      <c r="C737" s="193"/>
      <c r="D737" s="187"/>
      <c r="E737" s="296"/>
      <c r="F737" s="283"/>
      <c r="G737" s="284"/>
    </row>
    <row r="738" spans="1:7" ht="12.75" customHeight="1" thickBot="1" x14ac:dyDescent="0.25">
      <c r="A738" s="195"/>
      <c r="B738" s="192"/>
      <c r="C738" s="193"/>
      <c r="D738" s="187"/>
      <c r="E738" s="296"/>
      <c r="F738" s="283"/>
      <c r="G738" s="284"/>
    </row>
    <row r="739" spans="1:7" ht="12.75" customHeight="1" x14ac:dyDescent="0.2">
      <c r="A739" s="244"/>
      <c r="B739" s="236" t="s">
        <v>308</v>
      </c>
      <c r="C739" s="352"/>
      <c r="D739" s="358"/>
      <c r="E739" s="354"/>
      <c r="F739" s="338"/>
      <c r="G739" s="339"/>
    </row>
    <row r="740" spans="1:7" ht="12.75" customHeight="1" thickBot="1" x14ac:dyDescent="0.25">
      <c r="A740" s="245"/>
      <c r="B740" s="197" t="s">
        <v>309</v>
      </c>
      <c r="C740" s="355"/>
      <c r="D740" s="359"/>
      <c r="E740" s="357"/>
      <c r="F740" s="340"/>
      <c r="G740" s="341">
        <f>SUM(G707:G739)</f>
        <v>0</v>
      </c>
    </row>
    <row r="741" spans="1:7" ht="12.75" customHeight="1" x14ac:dyDescent="0.2">
      <c r="A741" s="182"/>
      <c r="B741" s="116" t="s">
        <v>318</v>
      </c>
      <c r="C741" s="58"/>
      <c r="D741" s="113"/>
      <c r="E741" s="262"/>
      <c r="F741" s="265"/>
      <c r="G741" s="266"/>
    </row>
    <row r="742" spans="1:7" ht="12.75" customHeight="1" x14ac:dyDescent="0.2">
      <c r="A742" s="182"/>
      <c r="B742" s="80" t="s">
        <v>315</v>
      </c>
      <c r="C742" s="58"/>
      <c r="D742" s="113"/>
      <c r="E742" s="262"/>
      <c r="F742" s="265"/>
      <c r="G742" s="266"/>
    </row>
    <row r="743" spans="1:7" ht="12.75" customHeight="1" x14ac:dyDescent="0.2">
      <c r="A743" s="194">
        <v>13.1</v>
      </c>
      <c r="B743" s="154" t="s">
        <v>40</v>
      </c>
      <c r="C743" s="183"/>
      <c r="D743" s="184"/>
      <c r="E743" s="262"/>
      <c r="F743" s="265"/>
      <c r="G743" s="266"/>
    </row>
    <row r="744" spans="1:7" ht="12.75" customHeight="1" x14ac:dyDescent="0.2">
      <c r="A744" s="194"/>
      <c r="B744" s="154" t="s">
        <v>317</v>
      </c>
      <c r="C744" s="183"/>
      <c r="D744" s="184"/>
      <c r="E744" s="262"/>
      <c r="F744" s="265"/>
      <c r="G744" s="266"/>
    </row>
    <row r="745" spans="1:7" ht="12.75" customHeight="1" x14ac:dyDescent="0.2">
      <c r="A745" s="182"/>
      <c r="B745" s="122"/>
      <c r="C745" s="156"/>
      <c r="D745" s="113"/>
      <c r="E745" s="262"/>
      <c r="F745" s="265"/>
      <c r="G745" s="266"/>
    </row>
    <row r="746" spans="1:7" ht="12.75" customHeight="1" x14ac:dyDescent="0.2">
      <c r="A746" s="182"/>
      <c r="B746" s="122"/>
      <c r="C746" s="156"/>
      <c r="D746" s="113"/>
      <c r="E746" s="262"/>
      <c r="F746" s="265"/>
      <c r="G746" s="266"/>
    </row>
    <row r="747" spans="1:7" ht="12.75" customHeight="1" x14ac:dyDescent="0.2">
      <c r="A747" s="182"/>
      <c r="B747" s="122"/>
      <c r="C747" s="156"/>
      <c r="D747" s="113"/>
      <c r="E747" s="262"/>
      <c r="F747" s="265"/>
      <c r="G747" s="266"/>
    </row>
    <row r="748" spans="1:7" ht="12.75" customHeight="1" x14ac:dyDescent="0.2">
      <c r="A748" s="182"/>
      <c r="B748" s="122"/>
      <c r="C748" s="156"/>
      <c r="D748" s="113"/>
      <c r="E748" s="262"/>
      <c r="F748" s="265"/>
      <c r="G748" s="266"/>
    </row>
    <row r="749" spans="1:7" ht="12.75" customHeight="1" x14ac:dyDescent="0.2">
      <c r="A749" s="182"/>
      <c r="B749" s="122"/>
      <c r="C749" s="156"/>
      <c r="D749" s="113"/>
      <c r="E749" s="262"/>
      <c r="F749" s="265"/>
      <c r="G749" s="266"/>
    </row>
    <row r="750" spans="1:7" ht="12.75" customHeight="1" x14ac:dyDescent="0.2">
      <c r="A750" s="182"/>
      <c r="B750" s="122"/>
      <c r="C750" s="156"/>
      <c r="D750" s="113"/>
      <c r="E750" s="262"/>
      <c r="F750" s="265"/>
      <c r="G750" s="284">
        <f t="shared" ref="G750" si="108">+D750*E750+D750*F750</f>
        <v>0</v>
      </c>
    </row>
    <row r="751" spans="1:7" ht="12.75" customHeight="1" x14ac:dyDescent="0.2">
      <c r="A751" s="182"/>
      <c r="B751" s="122"/>
      <c r="C751" s="156"/>
      <c r="D751" s="113"/>
      <c r="E751" s="262"/>
      <c r="F751" s="265"/>
      <c r="G751" s="266"/>
    </row>
    <row r="752" spans="1:7" ht="12.75" customHeight="1" x14ac:dyDescent="0.2">
      <c r="A752" s="182"/>
      <c r="B752" s="122"/>
      <c r="C752" s="156"/>
      <c r="D752" s="113"/>
      <c r="E752" s="262"/>
      <c r="F752" s="265"/>
      <c r="G752" s="266"/>
    </row>
    <row r="753" spans="1:7" ht="12.75" customHeight="1" x14ac:dyDescent="0.2">
      <c r="A753" s="182"/>
      <c r="B753" s="122"/>
      <c r="C753" s="156"/>
      <c r="D753" s="113"/>
      <c r="E753" s="262"/>
      <c r="F753" s="265"/>
      <c r="G753" s="266"/>
    </row>
    <row r="754" spans="1:7" ht="12.75" customHeight="1" x14ac:dyDescent="0.2">
      <c r="A754" s="182"/>
      <c r="B754" s="122"/>
      <c r="C754" s="156"/>
      <c r="D754" s="113"/>
      <c r="E754" s="262"/>
      <c r="F754" s="265"/>
      <c r="G754" s="266"/>
    </row>
    <row r="755" spans="1:7" ht="12.75" customHeight="1" x14ac:dyDescent="0.2">
      <c r="A755" s="182"/>
      <c r="B755" s="122"/>
      <c r="C755" s="156"/>
      <c r="D755" s="113"/>
      <c r="E755" s="262"/>
      <c r="F755" s="265"/>
      <c r="G755" s="266"/>
    </row>
    <row r="756" spans="1:7" ht="12.75" customHeight="1" x14ac:dyDescent="0.2">
      <c r="A756" s="182"/>
      <c r="B756" s="122"/>
      <c r="C756" s="156"/>
      <c r="D756" s="113"/>
      <c r="E756" s="262"/>
      <c r="F756" s="265"/>
      <c r="G756" s="266"/>
    </row>
    <row r="757" spans="1:7" ht="12.75" customHeight="1" x14ac:dyDescent="0.2">
      <c r="A757" s="182"/>
      <c r="B757" s="122"/>
      <c r="C757" s="156"/>
      <c r="D757" s="113"/>
      <c r="E757" s="262"/>
      <c r="F757" s="265"/>
      <c r="G757" s="266"/>
    </row>
    <row r="758" spans="1:7" ht="12.75" customHeight="1" x14ac:dyDescent="0.2">
      <c r="A758" s="182"/>
      <c r="B758" s="122"/>
      <c r="C758" s="156"/>
      <c r="D758" s="113"/>
      <c r="E758" s="262"/>
      <c r="F758" s="265"/>
      <c r="G758" s="266"/>
    </row>
    <row r="759" spans="1:7" ht="12.75" customHeight="1" x14ac:dyDescent="0.2">
      <c r="A759" s="182"/>
      <c r="B759" s="122"/>
      <c r="C759" s="156"/>
      <c r="D759" s="113"/>
      <c r="E759" s="262"/>
      <c r="F759" s="265"/>
      <c r="G759" s="266"/>
    </row>
    <row r="760" spans="1:7" ht="12.75" customHeight="1" x14ac:dyDescent="0.2">
      <c r="A760" s="182"/>
      <c r="B760" s="122"/>
      <c r="C760" s="156"/>
      <c r="D760" s="113"/>
      <c r="E760" s="262"/>
      <c r="F760" s="265"/>
      <c r="G760" s="266"/>
    </row>
    <row r="761" spans="1:7" ht="12.75" customHeight="1" x14ac:dyDescent="0.2">
      <c r="A761" s="182"/>
      <c r="B761" s="122"/>
      <c r="C761" s="156"/>
      <c r="D761" s="113"/>
      <c r="E761" s="262"/>
      <c r="F761" s="265"/>
      <c r="G761" s="266"/>
    </row>
    <row r="762" spans="1:7" ht="12.75" customHeight="1" x14ac:dyDescent="0.2">
      <c r="A762" s="182"/>
      <c r="B762" s="122"/>
      <c r="C762" s="156"/>
      <c r="D762" s="113"/>
      <c r="E762" s="262"/>
      <c r="F762" s="265"/>
      <c r="G762" s="266"/>
    </row>
    <row r="763" spans="1:7" ht="12.75" customHeight="1" thickBot="1" x14ac:dyDescent="0.25">
      <c r="A763" s="182"/>
      <c r="B763" s="122"/>
      <c r="C763" s="156"/>
      <c r="D763" s="113"/>
      <c r="E763" s="262"/>
      <c r="F763" s="265"/>
      <c r="G763" s="266"/>
    </row>
    <row r="764" spans="1:7" ht="12.75" customHeight="1" x14ac:dyDescent="0.2">
      <c r="A764" s="244"/>
      <c r="B764" s="236" t="s">
        <v>320</v>
      </c>
      <c r="C764" s="352"/>
      <c r="D764" s="358"/>
      <c r="E764" s="354"/>
      <c r="F764" s="338"/>
      <c r="G764" s="339"/>
    </row>
    <row r="765" spans="1:7" ht="12.75" customHeight="1" thickBot="1" x14ac:dyDescent="0.25">
      <c r="A765" s="245"/>
      <c r="B765" s="197" t="s">
        <v>319</v>
      </c>
      <c r="C765" s="355"/>
      <c r="D765" s="359"/>
      <c r="E765" s="357"/>
      <c r="F765" s="340"/>
      <c r="G765" s="341">
        <f>SUM(G742:G764)</f>
        <v>0</v>
      </c>
    </row>
    <row r="766" spans="1:7" ht="12.75" customHeight="1" x14ac:dyDescent="0.2">
      <c r="A766" s="182"/>
      <c r="B766" s="116" t="s">
        <v>321</v>
      </c>
      <c r="C766" s="58"/>
      <c r="D766" s="113"/>
      <c r="E766" s="262"/>
      <c r="F766" s="265"/>
      <c r="G766" s="266"/>
    </row>
    <row r="767" spans="1:7" ht="12.75" customHeight="1" x14ac:dyDescent="0.2">
      <c r="A767" s="182"/>
      <c r="B767" s="80" t="s">
        <v>316</v>
      </c>
      <c r="C767" s="58"/>
      <c r="D767" s="113"/>
      <c r="E767" s="262"/>
      <c r="F767" s="265"/>
      <c r="G767" s="266"/>
    </row>
    <row r="768" spans="1:7" ht="12.75" customHeight="1" x14ac:dyDescent="0.2">
      <c r="A768" s="194">
        <v>14.1</v>
      </c>
      <c r="B768" s="154" t="s">
        <v>40</v>
      </c>
      <c r="C768" s="183"/>
      <c r="D768" s="184"/>
      <c r="E768" s="262"/>
      <c r="F768" s="265"/>
      <c r="G768" s="266"/>
    </row>
    <row r="769" spans="1:7" ht="12.75" customHeight="1" x14ac:dyDescent="0.2">
      <c r="A769" s="195"/>
      <c r="B769" s="196" t="s">
        <v>345</v>
      </c>
      <c r="C769" s="153"/>
      <c r="D769" s="113"/>
      <c r="E769" s="262"/>
      <c r="F769" s="265"/>
      <c r="G769" s="266"/>
    </row>
    <row r="770" spans="1:7" ht="12.75" customHeight="1" x14ac:dyDescent="0.2">
      <c r="A770" s="182"/>
      <c r="B770" s="122"/>
      <c r="C770" s="156"/>
      <c r="D770" s="113"/>
      <c r="E770" s="262"/>
      <c r="F770" s="265"/>
      <c r="G770" s="266"/>
    </row>
    <row r="771" spans="1:7" ht="12.75" customHeight="1" x14ac:dyDescent="0.2">
      <c r="A771" s="182"/>
      <c r="B771" s="122"/>
      <c r="C771" s="156"/>
      <c r="D771" s="113"/>
      <c r="E771" s="262"/>
      <c r="F771" s="265"/>
      <c r="G771" s="266"/>
    </row>
    <row r="772" spans="1:7" ht="12.75" customHeight="1" x14ac:dyDescent="0.2">
      <c r="A772" s="182"/>
      <c r="B772" s="122"/>
      <c r="C772" s="156"/>
      <c r="D772" s="113"/>
      <c r="E772" s="262"/>
      <c r="F772" s="265"/>
      <c r="G772" s="266"/>
    </row>
    <row r="773" spans="1:7" ht="12.75" customHeight="1" x14ac:dyDescent="0.2">
      <c r="A773" s="182"/>
      <c r="B773" s="122"/>
      <c r="C773" s="156"/>
      <c r="D773" s="113"/>
      <c r="E773" s="262"/>
      <c r="F773" s="265"/>
      <c r="G773" s="284">
        <f t="shared" ref="G773" si="109">+D773*E773+D773*F773</f>
        <v>0</v>
      </c>
    </row>
    <row r="774" spans="1:7" ht="12.75" customHeight="1" x14ac:dyDescent="0.2">
      <c r="A774" s="182"/>
      <c r="B774" s="122"/>
      <c r="C774" s="156"/>
      <c r="D774" s="113"/>
      <c r="E774" s="262"/>
      <c r="F774" s="265"/>
      <c r="G774" s="266"/>
    </row>
    <row r="775" spans="1:7" ht="12.75" customHeight="1" x14ac:dyDescent="0.2">
      <c r="A775" s="182"/>
      <c r="B775" s="122"/>
      <c r="C775" s="156"/>
      <c r="D775" s="113"/>
      <c r="E775" s="262"/>
      <c r="F775" s="265"/>
      <c r="G775" s="284"/>
    </row>
    <row r="776" spans="1:7" ht="12.75" customHeight="1" x14ac:dyDescent="0.2">
      <c r="A776" s="182"/>
      <c r="B776" s="122"/>
      <c r="C776" s="156"/>
      <c r="D776" s="113"/>
      <c r="E776" s="262"/>
      <c r="F776" s="265"/>
      <c r="G776" s="266"/>
    </row>
    <row r="777" spans="1:7" ht="12.75" customHeight="1" x14ac:dyDescent="0.2">
      <c r="A777" s="182"/>
      <c r="B777" s="122"/>
      <c r="C777" s="156"/>
      <c r="D777" s="113"/>
      <c r="E777" s="262"/>
      <c r="F777" s="265"/>
      <c r="G777" s="266"/>
    </row>
    <row r="778" spans="1:7" ht="12.75" customHeight="1" x14ac:dyDescent="0.2">
      <c r="A778" s="182"/>
      <c r="B778" s="122"/>
      <c r="C778" s="156"/>
      <c r="D778" s="113"/>
      <c r="E778" s="262"/>
      <c r="F778" s="265"/>
      <c r="G778" s="266"/>
    </row>
    <row r="779" spans="1:7" ht="12.75" customHeight="1" x14ac:dyDescent="0.2">
      <c r="A779" s="182"/>
      <c r="B779" s="122"/>
      <c r="C779" s="156"/>
      <c r="D779" s="113"/>
      <c r="E779" s="262"/>
      <c r="F779" s="265"/>
      <c r="G779" s="266"/>
    </row>
    <row r="780" spans="1:7" ht="12.75" customHeight="1" x14ac:dyDescent="0.2">
      <c r="A780" s="182"/>
      <c r="B780" s="122"/>
      <c r="C780" s="156"/>
      <c r="D780" s="113"/>
      <c r="E780" s="262"/>
      <c r="F780" s="265"/>
      <c r="G780" s="266"/>
    </row>
    <row r="781" spans="1:7" ht="12.75" customHeight="1" x14ac:dyDescent="0.2">
      <c r="A781" s="182"/>
      <c r="B781" s="122"/>
      <c r="C781" s="156"/>
      <c r="D781" s="113"/>
      <c r="E781" s="262"/>
      <c r="F781" s="265"/>
      <c r="G781" s="266"/>
    </row>
    <row r="782" spans="1:7" ht="12.75" customHeight="1" x14ac:dyDescent="0.2">
      <c r="A782" s="182"/>
      <c r="B782" s="122"/>
      <c r="C782" s="156"/>
      <c r="D782" s="113"/>
      <c r="E782" s="262"/>
      <c r="F782" s="265"/>
      <c r="G782" s="266"/>
    </row>
    <row r="783" spans="1:7" ht="12.75" customHeight="1" x14ac:dyDescent="0.2">
      <c r="A783" s="182"/>
      <c r="B783" s="122"/>
      <c r="C783" s="156"/>
      <c r="D783" s="113"/>
      <c r="E783" s="262"/>
      <c r="F783" s="265"/>
      <c r="G783" s="266"/>
    </row>
    <row r="784" spans="1:7" ht="12.75" customHeight="1" x14ac:dyDescent="0.2">
      <c r="A784" s="182"/>
      <c r="B784" s="122"/>
      <c r="C784" s="156"/>
      <c r="D784" s="113"/>
      <c r="E784" s="262"/>
      <c r="F784" s="265"/>
      <c r="G784" s="266"/>
    </row>
    <row r="785" spans="1:7" ht="12.75" customHeight="1" x14ac:dyDescent="0.2">
      <c r="A785" s="182"/>
      <c r="B785" s="122"/>
      <c r="C785" s="156"/>
      <c r="D785" s="113"/>
      <c r="E785" s="262"/>
      <c r="F785" s="265"/>
      <c r="G785" s="266"/>
    </row>
    <row r="786" spans="1:7" ht="12.75" customHeight="1" x14ac:dyDescent="0.2">
      <c r="A786" s="182"/>
      <c r="B786" s="122"/>
      <c r="C786" s="156"/>
      <c r="D786" s="113"/>
      <c r="E786" s="262"/>
      <c r="F786" s="265"/>
      <c r="G786" s="266"/>
    </row>
    <row r="787" spans="1:7" ht="12.75" customHeight="1" x14ac:dyDescent="0.2">
      <c r="A787" s="182"/>
      <c r="B787" s="122"/>
      <c r="C787" s="156"/>
      <c r="D787" s="113"/>
      <c r="E787" s="262"/>
      <c r="F787" s="265"/>
      <c r="G787" s="266"/>
    </row>
    <row r="788" spans="1:7" ht="12.75" customHeight="1" x14ac:dyDescent="0.2">
      <c r="A788" s="182"/>
      <c r="B788" s="122"/>
      <c r="C788" s="156"/>
      <c r="D788" s="113"/>
      <c r="E788" s="262"/>
      <c r="F788" s="265"/>
      <c r="G788" s="266"/>
    </row>
    <row r="789" spans="1:7" ht="12.75" customHeight="1" x14ac:dyDescent="0.2">
      <c r="A789" s="182"/>
      <c r="B789" s="122"/>
      <c r="C789" s="156"/>
      <c r="D789" s="113"/>
      <c r="E789" s="262"/>
      <c r="F789" s="265"/>
      <c r="G789" s="266"/>
    </row>
    <row r="790" spans="1:7" ht="12.75" customHeight="1" x14ac:dyDescent="0.2">
      <c r="A790" s="182"/>
      <c r="B790" s="122"/>
      <c r="C790" s="156"/>
      <c r="D790" s="113"/>
      <c r="E790" s="262"/>
      <c r="F790" s="265"/>
      <c r="G790" s="266"/>
    </row>
    <row r="791" spans="1:7" ht="12.75" customHeight="1" x14ac:dyDescent="0.2">
      <c r="A791" s="182"/>
      <c r="B791" s="122"/>
      <c r="C791" s="156"/>
      <c r="D791" s="113"/>
      <c r="E791" s="262"/>
      <c r="F791" s="265"/>
      <c r="G791" s="266"/>
    </row>
    <row r="792" spans="1:7" ht="12.75" customHeight="1" x14ac:dyDescent="0.2">
      <c r="A792" s="182"/>
      <c r="B792" s="122"/>
      <c r="C792" s="156"/>
      <c r="D792" s="113"/>
      <c r="E792" s="262"/>
      <c r="F792" s="265"/>
      <c r="G792" s="266"/>
    </row>
    <row r="793" spans="1:7" ht="12.75" customHeight="1" x14ac:dyDescent="0.2">
      <c r="A793" s="182"/>
      <c r="B793" s="122"/>
      <c r="C793" s="156"/>
      <c r="D793" s="113"/>
      <c r="E793" s="262"/>
      <c r="F793" s="265"/>
      <c r="G793" s="266"/>
    </row>
    <row r="794" spans="1:7" ht="12.75" customHeight="1" thickBot="1" x14ac:dyDescent="0.25">
      <c r="A794" s="182"/>
      <c r="B794" s="122"/>
      <c r="C794" s="156"/>
      <c r="D794" s="113"/>
      <c r="E794" s="262"/>
      <c r="F794" s="265"/>
      <c r="G794" s="266"/>
    </row>
    <row r="795" spans="1:7" ht="12.75" customHeight="1" x14ac:dyDescent="0.2">
      <c r="A795" s="244"/>
      <c r="B795" s="236" t="s">
        <v>322</v>
      </c>
      <c r="C795" s="352"/>
      <c r="D795" s="358"/>
      <c r="E795" s="354"/>
      <c r="F795" s="338"/>
      <c r="G795" s="339"/>
    </row>
    <row r="796" spans="1:7" ht="12.75" customHeight="1" thickBot="1" x14ac:dyDescent="0.25">
      <c r="A796" s="245"/>
      <c r="B796" s="197" t="s">
        <v>323</v>
      </c>
      <c r="C796" s="355"/>
      <c r="D796" s="359"/>
      <c r="E796" s="357"/>
      <c r="F796" s="340"/>
      <c r="G796" s="341">
        <f>SUM(G770:G795)</f>
        <v>0</v>
      </c>
    </row>
  </sheetData>
  <mergeCells count="2">
    <mergeCell ref="A1:G1"/>
    <mergeCell ref="E2:G2"/>
  </mergeCells>
  <pageMargins left="0.59055118110236227" right="0.59055118110236227" top="0.59055118110236227" bottom="0.59055118110236227" header="0.23622047244094491" footer="0.23622047244094491"/>
  <pageSetup orientation="portrait" horizontalDpi="4294967293" verticalDpi="300" r:id="rId1"/>
  <headerFooter>
    <oddHeader>&amp;L&amp;8Sh.Lhaimagu School&amp;R&amp;8     BILL OF QUANTITIES</oddHeader>
    <oddFooter>Prepared by JP &amp;D&amp;RPage &amp;P</oddFooter>
  </headerFooter>
  <rowBreaks count="21" manualBreakCount="21">
    <brk id="51" max="19" man="1"/>
    <brk id="86" max="19" man="1"/>
    <brk id="132" max="19" man="1"/>
    <brk id="146" max="19" man="1"/>
    <brk id="179" max="19" man="1"/>
    <brk id="214" max="19" man="1"/>
    <brk id="263" max="19" man="1"/>
    <brk id="292" max="19" man="1"/>
    <brk id="321" max="19" man="1"/>
    <brk id="357" max="19" man="1"/>
    <brk id="387" max="19" man="1"/>
    <brk id="419" max="19" man="1"/>
    <brk id="451" max="19" man="1"/>
    <brk id="493" max="19" man="1"/>
    <brk id="529" max="19" man="1"/>
    <brk id="562" max="19" man="1"/>
    <brk id="595" max="19" man="1"/>
    <brk id="630" max="19" man="1"/>
    <brk id="668" max="19" man="1"/>
    <brk id="703" max="19" man="1"/>
    <brk id="740"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Windows User</cp:lastModifiedBy>
  <cp:lastPrinted>2020-06-25T06:04:12Z</cp:lastPrinted>
  <dcterms:created xsi:type="dcterms:W3CDTF">2011-03-24T06:48:27Z</dcterms:created>
  <dcterms:modified xsi:type="dcterms:W3CDTF">2020-09-27T19:08:21Z</dcterms:modified>
</cp:coreProperties>
</file>