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autoCompressPictures="0" defaultThemeVersion="124226"/>
  <mc:AlternateContent xmlns:mc="http://schemas.openxmlformats.org/markup-compatibility/2006">
    <mc:Choice Requires="x15">
      <x15ac:absPath xmlns:x15ac="http://schemas.microsoft.com/office/spreadsheetml/2010/11/ac" url="\\MOFTSTORAGE\Data\Tender\1. Projects\3. 2022\1. Works\TES2022W-036 Development of Innovation Lab in Male' Youth and Community Center\3. Tender Document\Tender Documents\"/>
    </mc:Choice>
  </mc:AlternateContent>
  <bookViews>
    <workbookView xWindow="-120" yWindow="-120" windowWidth="29040" windowHeight="15840" tabRatio="572" firstSheet="2" activeTab="4"/>
  </bookViews>
  <sheets>
    <sheet name="Doors" sheetId="11" state="hidden" r:id="rId1"/>
    <sheet name="cal" sheetId="6" state="hidden" r:id="rId2"/>
    <sheet name="Sheet1" sheetId="19" r:id="rId3"/>
    <sheet name="Summary" sheetId="5" r:id="rId4"/>
    <sheet name="BOQ " sheetId="4" r:id="rId5"/>
    <sheet name="Summary Analize" sheetId="17" state="hidden" r:id="rId6"/>
    <sheet name="Floor Summary" sheetId="18" state="hidden" r:id="rId7"/>
  </sheets>
  <externalReferences>
    <externalReference r:id="rId8"/>
  </externalReferences>
  <definedNames>
    <definedName name="_xlnm.Print_Area" localSheetId="4">'BOQ '!$A$1:$G$769</definedName>
    <definedName name="_xlnm.Print_Area" localSheetId="2">Sheet1!$A$3:$D$17</definedName>
    <definedName name="_xlnm.Print_Area" localSheetId="3">Summary!$A$1:$E$42</definedName>
    <definedName name="_xlnm.Print_Area" localSheetId="5">'Summary Analize'!$A$1:$O$17</definedName>
    <definedName name="_xlnm.Print_Titles" localSheetId="4">'BOQ '!$1:$1</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B5" i="19" l="1"/>
  <c r="B6" i="19"/>
  <c r="B7" i="19"/>
  <c r="B8" i="19"/>
  <c r="B9" i="19"/>
  <c r="B10" i="19"/>
  <c r="B11" i="19"/>
  <c r="B12" i="19"/>
  <c r="B13" i="19"/>
  <c r="B14" i="19"/>
  <c r="B15" i="19"/>
  <c r="B16" i="19"/>
  <c r="B17" i="19"/>
  <c r="C413" i="4"/>
  <c r="D38" i="5" l="1"/>
  <c r="C38" i="5"/>
  <c r="E38" i="5" l="1"/>
  <c r="C688" i="4" l="1"/>
  <c r="C689" i="4"/>
  <c r="C679" i="4"/>
  <c r="C461" i="4"/>
  <c r="B445" i="4"/>
  <c r="B446" i="4"/>
  <c r="B447" i="4"/>
  <c r="B448" i="4"/>
  <c r="B449" i="4"/>
  <c r="B450" i="4"/>
  <c r="B451" i="4"/>
  <c r="B452" i="4"/>
  <c r="B453" i="4"/>
  <c r="B454" i="4"/>
  <c r="B455" i="4"/>
  <c r="B456" i="4"/>
  <c r="B457" i="4"/>
  <c r="B444" i="4"/>
  <c r="C200" i="4"/>
  <c r="C204" i="4"/>
  <c r="C221" i="4" s="1"/>
  <c r="C189" i="4"/>
  <c r="C206" i="4" s="1"/>
  <c r="C223" i="4" s="1"/>
  <c r="E289" i="6"/>
  <c r="H289" i="6" s="1"/>
  <c r="B289" i="6"/>
  <c r="I289" i="6" s="1"/>
  <c r="E84" i="6"/>
  <c r="H84" i="6" s="1"/>
  <c r="B84" i="6"/>
  <c r="I84" i="6" s="1"/>
  <c r="N289" i="6" l="1"/>
  <c r="M289" i="6"/>
  <c r="E443" i="6"/>
  <c r="B449" i="6"/>
  <c r="C464" i="4" s="1"/>
  <c r="B448" i="6"/>
  <c r="B447" i="6"/>
  <c r="Z449" i="6"/>
  <c r="Y449" i="6"/>
  <c r="V449" i="6"/>
  <c r="U449" i="6"/>
  <c r="R449" i="6"/>
  <c r="Q449" i="6"/>
  <c r="AB449" i="6"/>
  <c r="Q448" i="6"/>
  <c r="Q447" i="6"/>
  <c r="B437" i="6"/>
  <c r="AA437" i="6" s="1"/>
  <c r="B434" i="6"/>
  <c r="Y434" i="6" s="1"/>
  <c r="Q434" i="6"/>
  <c r="C454" i="4" s="1"/>
  <c r="B436" i="6"/>
  <c r="B435" i="6"/>
  <c r="AA435" i="6" s="1"/>
  <c r="B433" i="6"/>
  <c r="AB433" i="6" s="1"/>
  <c r="B432" i="6"/>
  <c r="Y432" i="6" s="1"/>
  <c r="Q432" i="6"/>
  <c r="C452" i="4" s="1"/>
  <c r="B431" i="6"/>
  <c r="AA431" i="6" s="1"/>
  <c r="B430" i="6"/>
  <c r="AB430" i="6" s="1"/>
  <c r="B429" i="6"/>
  <c r="AA429" i="6" s="1"/>
  <c r="B428" i="6"/>
  <c r="Y428" i="6"/>
  <c r="B427" i="6"/>
  <c r="AA427" i="6" s="1"/>
  <c r="B426" i="6"/>
  <c r="R426" i="6" s="1"/>
  <c r="B425" i="6"/>
  <c r="Z425" i="6" s="1"/>
  <c r="Q425" i="6"/>
  <c r="C445" i="4" s="1"/>
  <c r="B424" i="6"/>
  <c r="AA424" i="6" s="1"/>
  <c r="P443" i="6"/>
  <c r="O443" i="6"/>
  <c r="N443" i="6"/>
  <c r="M443" i="6"/>
  <c r="L443" i="6"/>
  <c r="K443" i="6"/>
  <c r="J443" i="6"/>
  <c r="I443" i="6"/>
  <c r="H443" i="6"/>
  <c r="G443" i="6"/>
  <c r="F443" i="6"/>
  <c r="Z442" i="6"/>
  <c r="Y442" i="6"/>
  <c r="X442" i="6"/>
  <c r="W442" i="6"/>
  <c r="V442" i="6"/>
  <c r="U442" i="6"/>
  <c r="Q442" i="6"/>
  <c r="Z441" i="6"/>
  <c r="Y441" i="6"/>
  <c r="X441" i="6"/>
  <c r="W441" i="6"/>
  <c r="V441" i="6"/>
  <c r="U441" i="6"/>
  <c r="Q441" i="6"/>
  <c r="Q440" i="6"/>
  <c r="B440" i="6"/>
  <c r="Z440" i="6" s="1"/>
  <c r="Q439" i="6"/>
  <c r="B439" i="6"/>
  <c r="AA439" i="6" s="1"/>
  <c r="Q438" i="6"/>
  <c r="B438" i="6"/>
  <c r="Z438" i="6" s="1"/>
  <c r="Q437" i="6"/>
  <c r="C457" i="4" s="1"/>
  <c r="Q436" i="6"/>
  <c r="C456" i="4" s="1"/>
  <c r="D436" i="6"/>
  <c r="Q435" i="6"/>
  <c r="C455" i="4" s="1"/>
  <c r="Q433" i="6"/>
  <c r="C453" i="4" s="1"/>
  <c r="Q431" i="6"/>
  <c r="C451" i="4" s="1"/>
  <c r="Q430" i="6"/>
  <c r="C450" i="4" s="1"/>
  <c r="T429" i="6"/>
  <c r="Q429" i="6"/>
  <c r="C449" i="4" s="1"/>
  <c r="Z428" i="6"/>
  <c r="R428" i="6"/>
  <c r="Q428" i="6"/>
  <c r="C448" i="4" s="1"/>
  <c r="AB428" i="6"/>
  <c r="Q427" i="6"/>
  <c r="C447" i="4" s="1"/>
  <c r="Z426" i="6"/>
  <c r="U426" i="6"/>
  <c r="Q426" i="6"/>
  <c r="C446" i="4" s="1"/>
  <c r="AB426" i="6"/>
  <c r="AB424" i="6"/>
  <c r="X424" i="6"/>
  <c r="Q424" i="6"/>
  <c r="C444" i="4" s="1"/>
  <c r="D424" i="6"/>
  <c r="U425" i="6" l="1"/>
  <c r="U447" i="6"/>
  <c r="C462" i="4"/>
  <c r="Z448" i="6"/>
  <c r="C463" i="4"/>
  <c r="AB447" i="6"/>
  <c r="V447" i="6"/>
  <c r="Y447" i="6"/>
  <c r="R447" i="6"/>
  <c r="Z447" i="6"/>
  <c r="X448" i="6"/>
  <c r="U448" i="6"/>
  <c r="S449" i="6"/>
  <c r="W449" i="6"/>
  <c r="AA449" i="6"/>
  <c r="S448" i="6"/>
  <c r="W448" i="6"/>
  <c r="AA448" i="6"/>
  <c r="D448" i="6"/>
  <c r="T448" i="6"/>
  <c r="AB448" i="6"/>
  <c r="Y448" i="6"/>
  <c r="R448" i="6"/>
  <c r="V448" i="6"/>
  <c r="D449" i="6"/>
  <c r="T449" i="6"/>
  <c r="X449" i="6"/>
  <c r="S447" i="6"/>
  <c r="W447" i="6"/>
  <c r="AA447" i="6"/>
  <c r="D447" i="6"/>
  <c r="T447" i="6"/>
  <c r="X447" i="6"/>
  <c r="AB434" i="6"/>
  <c r="U434" i="6"/>
  <c r="V439" i="6"/>
  <c r="R434" i="6"/>
  <c r="V434" i="6"/>
  <c r="Z434" i="6"/>
  <c r="S434" i="6"/>
  <c r="W434" i="6"/>
  <c r="AA434" i="6"/>
  <c r="D434" i="6"/>
  <c r="T434" i="6"/>
  <c r="X434" i="6"/>
  <c r="D432" i="6"/>
  <c r="X432" i="6"/>
  <c r="T432" i="6"/>
  <c r="AB432" i="6"/>
  <c r="AA432" i="6"/>
  <c r="U432" i="6"/>
  <c r="T427" i="6"/>
  <c r="U433" i="6"/>
  <c r="R437" i="6"/>
  <c r="X439" i="6"/>
  <c r="R432" i="6"/>
  <c r="V432" i="6"/>
  <c r="Z432" i="6"/>
  <c r="R436" i="6"/>
  <c r="X437" i="6"/>
  <c r="AB439" i="6"/>
  <c r="S432" i="6"/>
  <c r="W432" i="6"/>
  <c r="R439" i="6"/>
  <c r="AB431" i="6"/>
  <c r="D431" i="6"/>
  <c r="AB425" i="6"/>
  <c r="V425" i="6"/>
  <c r="Y425" i="6"/>
  <c r="R425" i="6"/>
  <c r="V433" i="6"/>
  <c r="Y437" i="6"/>
  <c r="T424" i="6"/>
  <c r="V426" i="6"/>
  <c r="D427" i="6"/>
  <c r="AB427" i="6"/>
  <c r="U428" i="6"/>
  <c r="X429" i="6"/>
  <c r="R430" i="6"/>
  <c r="Z430" i="6"/>
  <c r="T431" i="6"/>
  <c r="Y433" i="6"/>
  <c r="D437" i="6"/>
  <c r="U437" i="6"/>
  <c r="Z437" i="6"/>
  <c r="T439" i="6"/>
  <c r="Y439" i="6"/>
  <c r="S425" i="6"/>
  <c r="W425" i="6"/>
  <c r="AA425" i="6"/>
  <c r="V430" i="6"/>
  <c r="X435" i="6"/>
  <c r="X427" i="6"/>
  <c r="Y430" i="6"/>
  <c r="D435" i="6"/>
  <c r="AB435" i="6"/>
  <c r="T437" i="6"/>
  <c r="V424" i="6"/>
  <c r="Y426" i="6"/>
  <c r="V428" i="6"/>
  <c r="D429" i="6"/>
  <c r="AB429" i="6"/>
  <c r="U430" i="6"/>
  <c r="X431" i="6"/>
  <c r="R433" i="6"/>
  <c r="Z433" i="6"/>
  <c r="T435" i="6"/>
  <c r="V437" i="6"/>
  <c r="AB437" i="6"/>
  <c r="D439" i="6"/>
  <c r="U439" i="6"/>
  <c r="Z439" i="6"/>
  <c r="D425" i="6"/>
  <c r="T425" i="6"/>
  <c r="X425" i="6"/>
  <c r="U424" i="6"/>
  <c r="Y424" i="6"/>
  <c r="R424" i="6"/>
  <c r="Z424" i="6"/>
  <c r="S424" i="6"/>
  <c r="W424" i="6"/>
  <c r="Q443" i="6"/>
  <c r="S438" i="6"/>
  <c r="S440" i="6"/>
  <c r="AA440" i="6"/>
  <c r="S426" i="6"/>
  <c r="W426" i="6"/>
  <c r="AA426" i="6"/>
  <c r="U427" i="6"/>
  <c r="Y427" i="6"/>
  <c r="S428" i="6"/>
  <c r="W428" i="6"/>
  <c r="AA428" i="6"/>
  <c r="U429" i="6"/>
  <c r="Y429" i="6"/>
  <c r="S430" i="6"/>
  <c r="W430" i="6"/>
  <c r="AA430" i="6"/>
  <c r="U431" i="6"/>
  <c r="Y431" i="6"/>
  <c r="S433" i="6"/>
  <c r="W433" i="6"/>
  <c r="AA433" i="6"/>
  <c r="U435" i="6"/>
  <c r="Y435" i="6"/>
  <c r="T436" i="6"/>
  <c r="D438" i="6"/>
  <c r="T438" i="6"/>
  <c r="X438" i="6"/>
  <c r="AB438" i="6"/>
  <c r="D440" i="6"/>
  <c r="T440" i="6"/>
  <c r="X440" i="6"/>
  <c r="AB440" i="6"/>
  <c r="D426" i="6"/>
  <c r="T426" i="6"/>
  <c r="X426" i="6"/>
  <c r="R427" i="6"/>
  <c r="V427" i="6"/>
  <c r="Z427" i="6"/>
  <c r="D428" i="6"/>
  <c r="T428" i="6"/>
  <c r="X428" i="6"/>
  <c r="R429" i="6"/>
  <c r="V429" i="6"/>
  <c r="Z429" i="6"/>
  <c r="D430" i="6"/>
  <c r="T430" i="6"/>
  <c r="X430" i="6"/>
  <c r="R431" i="6"/>
  <c r="V431" i="6"/>
  <c r="Z431" i="6"/>
  <c r="D433" i="6"/>
  <c r="T433" i="6"/>
  <c r="X433" i="6"/>
  <c r="R435" i="6"/>
  <c r="V435" i="6"/>
  <c r="Z435" i="6"/>
  <c r="S437" i="6"/>
  <c r="W437" i="6"/>
  <c r="U438" i="6"/>
  <c r="Y438" i="6"/>
  <c r="S439" i="6"/>
  <c r="W439" i="6"/>
  <c r="U440" i="6"/>
  <c r="Y440" i="6"/>
  <c r="W438" i="6"/>
  <c r="AA438" i="6"/>
  <c r="W440" i="6"/>
  <c r="S427" i="6"/>
  <c r="W427" i="6"/>
  <c r="S429" i="6"/>
  <c r="W429" i="6"/>
  <c r="S431" i="6"/>
  <c r="W431" i="6"/>
  <c r="S435" i="6"/>
  <c r="W435" i="6"/>
  <c r="R438" i="6"/>
  <c r="V438" i="6"/>
  <c r="R440" i="6"/>
  <c r="V440" i="6"/>
  <c r="R443" i="6" l="1"/>
  <c r="AB443" i="6"/>
  <c r="V443" i="6"/>
  <c r="Z443" i="6"/>
  <c r="X443" i="6"/>
  <c r="U443" i="6"/>
  <c r="T443" i="6"/>
  <c r="AA443" i="6"/>
  <c r="W443" i="6"/>
  <c r="Y443" i="6"/>
  <c r="S443" i="6"/>
  <c r="B404" i="6" l="1"/>
  <c r="J405" i="6"/>
  <c r="L405" i="6" s="1"/>
  <c r="I405" i="6"/>
  <c r="H405" i="6"/>
  <c r="D405" i="6"/>
  <c r="F405" i="6" s="1"/>
  <c r="J404" i="6"/>
  <c r="L404" i="6" s="1"/>
  <c r="I404" i="6"/>
  <c r="C350" i="6"/>
  <c r="J366" i="6" s="1"/>
  <c r="N350" i="6" s="1"/>
  <c r="B402" i="6"/>
  <c r="D402" i="6" s="1"/>
  <c r="F402" i="6" s="1"/>
  <c r="H402" i="6"/>
  <c r="I402" i="6"/>
  <c r="J402" i="6"/>
  <c r="L402" i="6" s="1"/>
  <c r="B401" i="6"/>
  <c r="J401" i="6"/>
  <c r="I401" i="6"/>
  <c r="J398" i="6"/>
  <c r="L398" i="6" s="1"/>
  <c r="I398" i="6"/>
  <c r="J396" i="6"/>
  <c r="I396" i="6"/>
  <c r="C498" i="4" s="1"/>
  <c r="B399" i="6"/>
  <c r="D399" i="6" s="1"/>
  <c r="F399" i="6" s="1"/>
  <c r="B398" i="6"/>
  <c r="B397" i="6"/>
  <c r="B396" i="6"/>
  <c r="I394" i="6"/>
  <c r="C497" i="4" s="1"/>
  <c r="J394" i="6"/>
  <c r="B395" i="6"/>
  <c r="B394" i="6"/>
  <c r="L399" i="6"/>
  <c r="D398" i="6"/>
  <c r="F398" i="6" s="1"/>
  <c r="B262" i="6"/>
  <c r="C260" i="6"/>
  <c r="B211" i="6"/>
  <c r="C209" i="6"/>
  <c r="B156" i="6"/>
  <c r="C154" i="6"/>
  <c r="L355" i="6"/>
  <c r="L356" i="6" s="1"/>
  <c r="M355" i="6"/>
  <c r="M356" i="6" s="1"/>
  <c r="L365" i="6"/>
  <c r="K365" i="6"/>
  <c r="J365" i="6"/>
  <c r="E364" i="6"/>
  <c r="B364" i="6"/>
  <c r="N363" i="6"/>
  <c r="Q356" i="6"/>
  <c r="I356" i="6"/>
  <c r="H356" i="6"/>
  <c r="Q355" i="6"/>
  <c r="K355" i="6"/>
  <c r="E355" i="6"/>
  <c r="I355" i="6" s="1"/>
  <c r="I354" i="6"/>
  <c r="H354" i="6"/>
  <c r="Q353" i="6"/>
  <c r="P353" i="6"/>
  <c r="M353" i="6"/>
  <c r="M354" i="6" s="1"/>
  <c r="L353" i="6"/>
  <c r="L354" i="6" s="1"/>
  <c r="K353" i="6"/>
  <c r="K354" i="6" s="1"/>
  <c r="J353" i="6"/>
  <c r="E353" i="6"/>
  <c r="O353" i="6" s="1"/>
  <c r="O354" i="6" s="1"/>
  <c r="B373" i="6"/>
  <c r="L373" i="6" s="1"/>
  <c r="I384" i="6"/>
  <c r="H384" i="6"/>
  <c r="I383" i="6"/>
  <c r="H383" i="6"/>
  <c r="A383" i="6"/>
  <c r="E381" i="6"/>
  <c r="H381" i="6" s="1"/>
  <c r="C380" i="6"/>
  <c r="I380" i="6" s="1"/>
  <c r="N379" i="6"/>
  <c r="O378" i="6"/>
  <c r="M378" i="6"/>
  <c r="O377" i="6"/>
  <c r="M377" i="6"/>
  <c r="I377" i="6"/>
  <c r="H377" i="6"/>
  <c r="O376" i="6"/>
  <c r="M376" i="6"/>
  <c r="L376" i="6"/>
  <c r="I376" i="6"/>
  <c r="H376" i="6"/>
  <c r="O375" i="6"/>
  <c r="M375" i="6"/>
  <c r="L375" i="6"/>
  <c r="K375" i="6"/>
  <c r="J375" i="6"/>
  <c r="I375" i="6"/>
  <c r="H375" i="6"/>
  <c r="O374" i="6"/>
  <c r="M374" i="6"/>
  <c r="L374" i="6"/>
  <c r="K374" i="6"/>
  <c r="J374" i="6"/>
  <c r="D374" i="6"/>
  <c r="F374" i="6" s="1"/>
  <c r="I374" i="6" s="1"/>
  <c r="D373" i="6"/>
  <c r="F373" i="6" s="1"/>
  <c r="K372" i="6"/>
  <c r="D372" i="6"/>
  <c r="H372" i="6" s="1"/>
  <c r="O372" i="6"/>
  <c r="P371" i="6"/>
  <c r="O371" i="6"/>
  <c r="M371" i="6"/>
  <c r="L371" i="6"/>
  <c r="K371" i="6"/>
  <c r="J371" i="6"/>
  <c r="D371" i="6"/>
  <c r="H371" i="6" s="1"/>
  <c r="P370" i="6"/>
  <c r="O370" i="6"/>
  <c r="M370" i="6"/>
  <c r="L370" i="6"/>
  <c r="K370" i="6"/>
  <c r="J370" i="6"/>
  <c r="D370" i="6"/>
  <c r="F370" i="6" s="1"/>
  <c r="I370" i="6" s="1"/>
  <c r="B343" i="6"/>
  <c r="L343" i="6" s="1"/>
  <c r="B342" i="6"/>
  <c r="K342" i="6" s="1"/>
  <c r="I369" i="6"/>
  <c r="H369" i="6"/>
  <c r="I368" i="6"/>
  <c r="H368" i="6"/>
  <c r="A368" i="6"/>
  <c r="E366" i="6"/>
  <c r="H366" i="6" s="1"/>
  <c r="N349" i="6"/>
  <c r="O348" i="6"/>
  <c r="M348" i="6"/>
  <c r="O347" i="6"/>
  <c r="M347" i="6"/>
  <c r="I347" i="6"/>
  <c r="H347" i="6"/>
  <c r="O346" i="6"/>
  <c r="M346" i="6"/>
  <c r="L346" i="6"/>
  <c r="I346" i="6"/>
  <c r="H346" i="6"/>
  <c r="O345" i="6"/>
  <c r="M345" i="6"/>
  <c r="L345" i="6"/>
  <c r="K345" i="6"/>
  <c r="J345" i="6"/>
  <c r="I345" i="6"/>
  <c r="H345" i="6"/>
  <c r="O344" i="6"/>
  <c r="L344" i="6"/>
  <c r="J344" i="6"/>
  <c r="D344" i="6"/>
  <c r="F344" i="6" s="1"/>
  <c r="K344" i="6"/>
  <c r="D343" i="6"/>
  <c r="D342" i="6"/>
  <c r="F342" i="6" s="1"/>
  <c r="P341" i="6"/>
  <c r="K341" i="6"/>
  <c r="D341" i="6"/>
  <c r="H341" i="6" s="1"/>
  <c r="O341" i="6"/>
  <c r="P340" i="6"/>
  <c r="O340" i="6"/>
  <c r="L340" i="6"/>
  <c r="J340" i="6"/>
  <c r="D340" i="6"/>
  <c r="H340" i="6" s="1"/>
  <c r="M340" i="6"/>
  <c r="N318" i="6"/>
  <c r="D313" i="6"/>
  <c r="B313" i="6"/>
  <c r="O313" i="6" s="1"/>
  <c r="D312" i="6"/>
  <c r="F312" i="6" s="1"/>
  <c r="B312" i="6"/>
  <c r="O312" i="6" s="1"/>
  <c r="D311" i="6"/>
  <c r="B311" i="6"/>
  <c r="O311" i="6" s="1"/>
  <c r="P310" i="6"/>
  <c r="D310" i="6"/>
  <c r="F310" i="6" s="1"/>
  <c r="B310" i="6"/>
  <c r="M310" i="6" s="1"/>
  <c r="P309" i="6"/>
  <c r="D309" i="6"/>
  <c r="F309" i="6" s="1"/>
  <c r="B309" i="6"/>
  <c r="O309" i="6" s="1"/>
  <c r="B327" i="6"/>
  <c r="L327" i="6" s="1"/>
  <c r="B325" i="6"/>
  <c r="L325" i="6" s="1"/>
  <c r="B326" i="6"/>
  <c r="O326" i="6" s="1"/>
  <c r="O331" i="6"/>
  <c r="M331" i="6"/>
  <c r="O330" i="6"/>
  <c r="M330" i="6"/>
  <c r="I330" i="6"/>
  <c r="H330" i="6"/>
  <c r="O329" i="6"/>
  <c r="M329" i="6"/>
  <c r="L329" i="6"/>
  <c r="I329" i="6"/>
  <c r="H329" i="6"/>
  <c r="O328" i="6"/>
  <c r="M328" i="6"/>
  <c r="L328" i="6"/>
  <c r="K328" i="6"/>
  <c r="J328" i="6"/>
  <c r="I328" i="6"/>
  <c r="H328" i="6"/>
  <c r="D327" i="6"/>
  <c r="F327" i="6" s="1"/>
  <c r="D326" i="6"/>
  <c r="F326" i="6" s="1"/>
  <c r="D325" i="6"/>
  <c r="F325" i="6" s="1"/>
  <c r="P324" i="6"/>
  <c r="D324" i="6"/>
  <c r="B324" i="6"/>
  <c r="O324" i="6" s="1"/>
  <c r="P323" i="6"/>
  <c r="D323" i="6"/>
  <c r="F323" i="6" s="1"/>
  <c r="B323" i="6"/>
  <c r="M323" i="6" s="1"/>
  <c r="O251" i="6"/>
  <c r="M251" i="6"/>
  <c r="O250" i="6"/>
  <c r="M250" i="6"/>
  <c r="I250" i="6"/>
  <c r="H250" i="6"/>
  <c r="O249" i="6"/>
  <c r="M249" i="6"/>
  <c r="L249" i="6"/>
  <c r="I249" i="6"/>
  <c r="H249" i="6"/>
  <c r="O248" i="6"/>
  <c r="M248" i="6"/>
  <c r="L248" i="6"/>
  <c r="K248" i="6"/>
  <c r="J248" i="6"/>
  <c r="I248" i="6"/>
  <c r="H248" i="6"/>
  <c r="D247" i="6"/>
  <c r="B247" i="6"/>
  <c r="L247" i="6" s="1"/>
  <c r="D246" i="6"/>
  <c r="B246" i="6"/>
  <c r="O246" i="6" s="1"/>
  <c r="D245" i="6"/>
  <c r="F245" i="6" s="1"/>
  <c r="B245" i="6"/>
  <c r="L245" i="6" s="1"/>
  <c r="P244" i="6"/>
  <c r="D244" i="6"/>
  <c r="F244" i="6" s="1"/>
  <c r="B244" i="6"/>
  <c r="K244" i="6" s="1"/>
  <c r="P243" i="6"/>
  <c r="D243" i="6"/>
  <c r="F243" i="6" s="1"/>
  <c r="B243" i="6"/>
  <c r="O243" i="6" s="1"/>
  <c r="O198" i="6"/>
  <c r="M198" i="6"/>
  <c r="O197" i="6"/>
  <c r="M197" i="6"/>
  <c r="I197" i="6"/>
  <c r="H197" i="6"/>
  <c r="O196" i="6"/>
  <c r="M196" i="6"/>
  <c r="L196" i="6"/>
  <c r="I196" i="6"/>
  <c r="H196" i="6"/>
  <c r="O195" i="6"/>
  <c r="M195" i="6"/>
  <c r="L195" i="6"/>
  <c r="K195" i="6"/>
  <c r="J195" i="6"/>
  <c r="I195" i="6"/>
  <c r="H195" i="6"/>
  <c r="D194" i="6"/>
  <c r="B194" i="6"/>
  <c r="L194" i="6" s="1"/>
  <c r="D193" i="6"/>
  <c r="F193" i="6" s="1"/>
  <c r="B193" i="6"/>
  <c r="O193" i="6" s="1"/>
  <c r="D192" i="6"/>
  <c r="B192" i="6"/>
  <c r="L192" i="6" s="1"/>
  <c r="P191" i="6"/>
  <c r="D191" i="6"/>
  <c r="F191" i="6" s="1"/>
  <c r="B191" i="6"/>
  <c r="K191" i="6" s="1"/>
  <c r="P190" i="6"/>
  <c r="D190" i="6"/>
  <c r="B190" i="6"/>
  <c r="M190" i="6" s="1"/>
  <c r="O145" i="6"/>
  <c r="M145" i="6"/>
  <c r="O144" i="6"/>
  <c r="M144" i="6"/>
  <c r="I144" i="6"/>
  <c r="H144" i="6"/>
  <c r="O143" i="6"/>
  <c r="M143" i="6"/>
  <c r="L143" i="6"/>
  <c r="I143" i="6"/>
  <c r="H143" i="6"/>
  <c r="O142" i="6"/>
  <c r="M142" i="6"/>
  <c r="L142" i="6"/>
  <c r="K142" i="6"/>
  <c r="J142" i="6"/>
  <c r="I142" i="6"/>
  <c r="H142" i="6"/>
  <c r="D141" i="6"/>
  <c r="B141" i="6"/>
  <c r="L141" i="6" s="1"/>
  <c r="D140" i="6"/>
  <c r="F140" i="6" s="1"/>
  <c r="B140" i="6"/>
  <c r="O140" i="6" s="1"/>
  <c r="D139" i="6"/>
  <c r="F139" i="6" s="1"/>
  <c r="B139" i="6"/>
  <c r="L139" i="6" s="1"/>
  <c r="P138" i="6"/>
  <c r="D138" i="6"/>
  <c r="B138" i="6"/>
  <c r="O138" i="6" s="1"/>
  <c r="P137" i="6"/>
  <c r="D137" i="6"/>
  <c r="F137" i="6" s="1"/>
  <c r="B137" i="6"/>
  <c r="M137" i="6" s="1"/>
  <c r="D91" i="6"/>
  <c r="D92" i="6"/>
  <c r="D90" i="6"/>
  <c r="D89" i="6"/>
  <c r="F89" i="6" s="1"/>
  <c r="D88" i="6"/>
  <c r="N107" i="6"/>
  <c r="B109" i="6"/>
  <c r="C107" i="6"/>
  <c r="B90" i="6"/>
  <c r="L90" i="6" s="1"/>
  <c r="B92" i="6"/>
  <c r="O92" i="6" s="1"/>
  <c r="B91" i="6"/>
  <c r="L91" i="6" s="1"/>
  <c r="B88" i="6"/>
  <c r="K88" i="6" s="1"/>
  <c r="B89" i="6"/>
  <c r="K89" i="6" s="1"/>
  <c r="P89" i="6"/>
  <c r="N303" i="6"/>
  <c r="N284" i="6"/>
  <c r="N232" i="6"/>
  <c r="Q296" i="6"/>
  <c r="I296" i="6"/>
  <c r="H296" i="6"/>
  <c r="Q295" i="6"/>
  <c r="L295" i="6"/>
  <c r="L296" i="6" s="1"/>
  <c r="K295" i="6"/>
  <c r="K296" i="6" s="1"/>
  <c r="E295" i="6"/>
  <c r="O295" i="6" s="1"/>
  <c r="O296" i="6" s="1"/>
  <c r="I294" i="6"/>
  <c r="H294" i="6"/>
  <c r="Q293" i="6"/>
  <c r="P293" i="6"/>
  <c r="M293" i="6"/>
  <c r="M294" i="6" s="1"/>
  <c r="M303" i="6" s="1"/>
  <c r="L293" i="6"/>
  <c r="L294" i="6" s="1"/>
  <c r="K293" i="6"/>
  <c r="K294" i="6" s="1"/>
  <c r="J293" i="6"/>
  <c r="J294" i="6" s="1"/>
  <c r="E293" i="6"/>
  <c r="I293" i="6" s="1"/>
  <c r="Q276" i="6"/>
  <c r="I276" i="6"/>
  <c r="H276" i="6"/>
  <c r="Q275" i="6"/>
  <c r="L275" i="6"/>
  <c r="L276" i="6" s="1"/>
  <c r="K275" i="6"/>
  <c r="K276" i="6" s="1"/>
  <c r="E275" i="6"/>
  <c r="I275" i="6" s="1"/>
  <c r="I274" i="6"/>
  <c r="H274" i="6"/>
  <c r="Q273" i="6"/>
  <c r="P273" i="6"/>
  <c r="M273" i="6"/>
  <c r="M274" i="6" s="1"/>
  <c r="M284" i="6" s="1"/>
  <c r="L273" i="6"/>
  <c r="L274" i="6" s="1"/>
  <c r="K273" i="6"/>
  <c r="K274" i="6" s="1"/>
  <c r="J273" i="6"/>
  <c r="J274" i="6" s="1"/>
  <c r="E273" i="6"/>
  <c r="H273" i="6" s="1"/>
  <c r="Q224" i="6"/>
  <c r="I224" i="6"/>
  <c r="H224" i="6"/>
  <c r="Q223" i="6"/>
  <c r="L223" i="6"/>
  <c r="L224" i="6" s="1"/>
  <c r="K223" i="6"/>
  <c r="K224" i="6" s="1"/>
  <c r="E223" i="6"/>
  <c r="I223" i="6" s="1"/>
  <c r="I222" i="6"/>
  <c r="H222" i="6"/>
  <c r="Q221" i="6"/>
  <c r="P221" i="6"/>
  <c r="M221" i="6"/>
  <c r="M222" i="6" s="1"/>
  <c r="M232" i="6" s="1"/>
  <c r="L221" i="6"/>
  <c r="L222" i="6" s="1"/>
  <c r="K221" i="6"/>
  <c r="K222" i="6" s="1"/>
  <c r="J221" i="6"/>
  <c r="J222" i="6" s="1"/>
  <c r="E221" i="6"/>
  <c r="H221" i="6" s="1"/>
  <c r="N178" i="6"/>
  <c r="I177" i="6"/>
  <c r="H177" i="6"/>
  <c r="O176" i="6"/>
  <c r="O177" i="6" s="1"/>
  <c r="K176" i="6"/>
  <c r="K177" i="6" s="1"/>
  <c r="I176" i="6"/>
  <c r="H176" i="6"/>
  <c r="I175" i="6"/>
  <c r="H175" i="6"/>
  <c r="I174" i="6"/>
  <c r="H174" i="6"/>
  <c r="O173" i="6"/>
  <c r="O174" i="6" s="1"/>
  <c r="L173" i="6"/>
  <c r="L174" i="6" s="1"/>
  <c r="K173" i="6"/>
  <c r="K174" i="6" s="1"/>
  <c r="I173" i="6"/>
  <c r="H173" i="6"/>
  <c r="I172" i="6"/>
  <c r="H172" i="6"/>
  <c r="O171" i="6"/>
  <c r="O172" i="6" s="1"/>
  <c r="M171" i="6"/>
  <c r="M172" i="6" s="1"/>
  <c r="L171" i="6"/>
  <c r="L172" i="6" s="1"/>
  <c r="K171" i="6"/>
  <c r="K172" i="6" s="1"/>
  <c r="I171" i="6"/>
  <c r="H171" i="6"/>
  <c r="Q170" i="6"/>
  <c r="I170" i="6"/>
  <c r="H170" i="6"/>
  <c r="Q169" i="6"/>
  <c r="L169" i="6"/>
  <c r="L170" i="6" s="1"/>
  <c r="K169" i="6"/>
  <c r="K170" i="6" s="1"/>
  <c r="E169" i="6"/>
  <c r="O169" i="6" s="1"/>
  <c r="O170" i="6" s="1"/>
  <c r="I168" i="6"/>
  <c r="H168" i="6"/>
  <c r="Q167" i="6"/>
  <c r="P167" i="6"/>
  <c r="M167" i="6"/>
  <c r="M168" i="6" s="1"/>
  <c r="L167" i="6"/>
  <c r="L168" i="6" s="1"/>
  <c r="K167" i="6"/>
  <c r="K168" i="6" s="1"/>
  <c r="J167" i="6"/>
  <c r="J168" i="6" s="1"/>
  <c r="E167" i="6"/>
  <c r="I167" i="6" s="1"/>
  <c r="I126" i="6"/>
  <c r="H126" i="6"/>
  <c r="O125" i="6"/>
  <c r="O126" i="6" s="1"/>
  <c r="K125" i="6"/>
  <c r="K126" i="6" s="1"/>
  <c r="I125" i="6"/>
  <c r="H125" i="6"/>
  <c r="I124" i="6"/>
  <c r="H124" i="6"/>
  <c r="I123" i="6"/>
  <c r="H123" i="6"/>
  <c r="O122" i="6"/>
  <c r="O123" i="6" s="1"/>
  <c r="L122" i="6"/>
  <c r="L123" i="6" s="1"/>
  <c r="K122" i="6"/>
  <c r="K123" i="6" s="1"/>
  <c r="I122" i="6"/>
  <c r="H122" i="6"/>
  <c r="I121" i="6"/>
  <c r="H121" i="6"/>
  <c r="O120" i="6"/>
  <c r="O121" i="6" s="1"/>
  <c r="M120" i="6"/>
  <c r="M121" i="6" s="1"/>
  <c r="L120" i="6"/>
  <c r="L121" i="6" s="1"/>
  <c r="K120" i="6"/>
  <c r="K121" i="6" s="1"/>
  <c r="I120" i="6"/>
  <c r="H120" i="6"/>
  <c r="Q119" i="6"/>
  <c r="I119" i="6"/>
  <c r="H119" i="6"/>
  <c r="Q118" i="6"/>
  <c r="L118" i="6"/>
  <c r="L119" i="6" s="1"/>
  <c r="K118" i="6"/>
  <c r="K119" i="6" s="1"/>
  <c r="E118" i="6"/>
  <c r="I118" i="6" s="1"/>
  <c r="I117" i="6"/>
  <c r="H117" i="6"/>
  <c r="Q116" i="6"/>
  <c r="P116" i="6"/>
  <c r="M116" i="6"/>
  <c r="M117" i="6" s="1"/>
  <c r="L116" i="6"/>
  <c r="L117" i="6" s="1"/>
  <c r="K116" i="6"/>
  <c r="K117" i="6" s="1"/>
  <c r="J116" i="6"/>
  <c r="J117" i="6" s="1"/>
  <c r="E116" i="6"/>
  <c r="O116" i="6" s="1"/>
  <c r="O117" i="6" s="1"/>
  <c r="E67" i="6"/>
  <c r="I67" i="6" s="1"/>
  <c r="E65" i="6"/>
  <c r="I65" i="6" s="1"/>
  <c r="O71" i="6"/>
  <c r="L71" i="6"/>
  <c r="K71" i="6"/>
  <c r="I71" i="6"/>
  <c r="H71" i="6"/>
  <c r="I70" i="6"/>
  <c r="H70" i="6"/>
  <c r="O69" i="6"/>
  <c r="O70" i="6" s="1"/>
  <c r="M69" i="6"/>
  <c r="M70" i="6" s="1"/>
  <c r="L69" i="6"/>
  <c r="L70" i="6" s="1"/>
  <c r="K69" i="6"/>
  <c r="K70" i="6" s="1"/>
  <c r="I69" i="6"/>
  <c r="H69" i="6"/>
  <c r="Q68" i="6"/>
  <c r="I68" i="6"/>
  <c r="H68" i="6"/>
  <c r="Q67" i="6"/>
  <c r="L67" i="6"/>
  <c r="L68" i="6" s="1"/>
  <c r="K67" i="6"/>
  <c r="K68" i="6" s="1"/>
  <c r="I66" i="6"/>
  <c r="H66" i="6"/>
  <c r="Q65" i="6"/>
  <c r="P65" i="6"/>
  <c r="M65" i="6"/>
  <c r="M66" i="6" s="1"/>
  <c r="L65" i="6"/>
  <c r="L66" i="6" s="1"/>
  <c r="K65" i="6"/>
  <c r="K66" i="6" s="1"/>
  <c r="J65" i="6"/>
  <c r="J66" i="6" s="1"/>
  <c r="L44" i="6"/>
  <c r="L42" i="6"/>
  <c r="O18" i="6"/>
  <c r="N18" i="6"/>
  <c r="N17" i="6"/>
  <c r="N20" i="6"/>
  <c r="L17" i="6"/>
  <c r="M17" i="6"/>
  <c r="M20" i="6"/>
  <c r="L14" i="6"/>
  <c r="N14" i="6"/>
  <c r="N11" i="6"/>
  <c r="M11" i="6"/>
  <c r="M8" i="6"/>
  <c r="L8" i="6"/>
  <c r="L5" i="6"/>
  <c r="F5" i="6"/>
  <c r="F8" i="6"/>
  <c r="F11" i="6"/>
  <c r="F14" i="6"/>
  <c r="F20" i="6"/>
  <c r="F17" i="6"/>
  <c r="B56" i="6"/>
  <c r="B21" i="6"/>
  <c r="M21" i="6" s="1"/>
  <c r="B27" i="6"/>
  <c r="O27" i="6" s="1"/>
  <c r="B29" i="6"/>
  <c r="O29" i="6" s="1"/>
  <c r="L18" i="6"/>
  <c r="H18" i="6"/>
  <c r="G398" i="6" l="1"/>
  <c r="C288" i="4"/>
  <c r="M364" i="6"/>
  <c r="M365" i="6" s="1"/>
  <c r="H192" i="6"/>
  <c r="O244" i="6"/>
  <c r="H313" i="6"/>
  <c r="K363" i="6"/>
  <c r="K356" i="6"/>
  <c r="H374" i="6"/>
  <c r="D404" i="6"/>
  <c r="F404" i="6" s="1"/>
  <c r="G399" i="6"/>
  <c r="O67" i="6"/>
  <c r="O68" i="6" s="1"/>
  <c r="H353" i="6"/>
  <c r="H355" i="6"/>
  <c r="O355" i="6"/>
  <c r="O356" i="6" s="1"/>
  <c r="O363" i="6" s="1"/>
  <c r="L309" i="6"/>
  <c r="I353" i="6"/>
  <c r="I363" i="6" s="1"/>
  <c r="H364" i="6"/>
  <c r="H365" i="6" s="1"/>
  <c r="M363" i="6"/>
  <c r="L363" i="6"/>
  <c r="N364" i="6"/>
  <c r="N365" i="6" s="1"/>
  <c r="L312" i="6"/>
  <c r="F341" i="6"/>
  <c r="I341" i="6" s="1"/>
  <c r="M343" i="6"/>
  <c r="J354" i="6"/>
  <c r="J363" i="6" s="1"/>
  <c r="I364" i="6"/>
  <c r="I365" i="6" s="1"/>
  <c r="H116" i="6"/>
  <c r="H311" i="6"/>
  <c r="H190" i="6"/>
  <c r="L324" i="6"/>
  <c r="J343" i="6"/>
  <c r="H370" i="6"/>
  <c r="F372" i="6"/>
  <c r="I372" i="6" s="1"/>
  <c r="K193" i="6"/>
  <c r="H246" i="6"/>
  <c r="O343" i="6"/>
  <c r="J381" i="6"/>
  <c r="N380" i="6" s="1"/>
  <c r="E380" i="6"/>
  <c r="H380" i="6" s="1"/>
  <c r="H373" i="6"/>
  <c r="I373" i="6"/>
  <c r="M373" i="6"/>
  <c r="H167" i="6"/>
  <c r="H275" i="6"/>
  <c r="O90" i="6"/>
  <c r="H138" i="6"/>
  <c r="H193" i="6"/>
  <c r="J244" i="6"/>
  <c r="K246" i="6"/>
  <c r="H309" i="6"/>
  <c r="J342" i="6"/>
  <c r="H344" i="6"/>
  <c r="F371" i="6"/>
  <c r="I371" i="6" s="1"/>
  <c r="L372" i="6"/>
  <c r="L379" i="6" s="1"/>
  <c r="J373" i="6"/>
  <c r="O373" i="6"/>
  <c r="O379" i="6" s="1"/>
  <c r="O167" i="6"/>
  <c r="O168" i="6" s="1"/>
  <c r="O178" i="6" s="1"/>
  <c r="L342" i="6"/>
  <c r="M372" i="6"/>
  <c r="K373" i="6"/>
  <c r="L138" i="6"/>
  <c r="H67" i="6"/>
  <c r="L89" i="6"/>
  <c r="F190" i="6"/>
  <c r="I190" i="6" s="1"/>
  <c r="H191" i="6"/>
  <c r="H247" i="6"/>
  <c r="H324" i="6"/>
  <c r="H312" i="6"/>
  <c r="H342" i="6"/>
  <c r="J372" i="6"/>
  <c r="E350" i="6"/>
  <c r="H350" i="6" s="1"/>
  <c r="I350" i="6"/>
  <c r="H343" i="6"/>
  <c r="O342" i="6"/>
  <c r="L88" i="6"/>
  <c r="K137" i="6"/>
  <c r="J190" i="6"/>
  <c r="K323" i="6"/>
  <c r="L21" i="6"/>
  <c r="I116" i="6"/>
  <c r="M178" i="6"/>
  <c r="L178" i="6"/>
  <c r="I273" i="6"/>
  <c r="O88" i="6"/>
  <c r="H137" i="6"/>
  <c r="O137" i="6"/>
  <c r="F138" i="6"/>
  <c r="I138" i="6" s="1"/>
  <c r="C258" i="4" s="1"/>
  <c r="H140" i="6"/>
  <c r="H141" i="6"/>
  <c r="K190" i="6"/>
  <c r="L191" i="6"/>
  <c r="J193" i="6"/>
  <c r="H194" i="6"/>
  <c r="H243" i="6"/>
  <c r="L244" i="6"/>
  <c r="H245" i="6"/>
  <c r="F246" i="6"/>
  <c r="I246" i="6" s="1"/>
  <c r="F247" i="6"/>
  <c r="I247" i="6" s="1"/>
  <c r="H323" i="6"/>
  <c r="O323" i="6"/>
  <c r="F324" i="6"/>
  <c r="I324" i="6" s="1"/>
  <c r="K309" i="6"/>
  <c r="K312" i="6"/>
  <c r="F340" i="6"/>
  <c r="I340" i="6" s="1"/>
  <c r="K340" i="6"/>
  <c r="L341" i="6"/>
  <c r="I342" i="6"/>
  <c r="M342" i="6"/>
  <c r="F343" i="6"/>
  <c r="I343" i="6" s="1"/>
  <c r="K343" i="6"/>
  <c r="I344" i="6"/>
  <c r="M344" i="6"/>
  <c r="J303" i="6"/>
  <c r="M341" i="6"/>
  <c r="L27" i="6"/>
  <c r="L92" i="6"/>
  <c r="L190" i="6"/>
  <c r="L303" i="6"/>
  <c r="K303" i="6"/>
  <c r="O89" i="6"/>
  <c r="J137" i="6"/>
  <c r="K138" i="6"/>
  <c r="K140" i="6"/>
  <c r="O190" i="6"/>
  <c r="L193" i="6"/>
  <c r="K243" i="6"/>
  <c r="H244" i="6"/>
  <c r="J323" i="6"/>
  <c r="K324" i="6"/>
  <c r="J341" i="6"/>
  <c r="I309" i="6"/>
  <c r="M309" i="6"/>
  <c r="J310" i="6"/>
  <c r="O310" i="6"/>
  <c r="O318" i="6" s="1"/>
  <c r="F311" i="6"/>
  <c r="I311" i="6" s="1"/>
  <c r="K311" i="6"/>
  <c r="I312" i="6"/>
  <c r="M312" i="6"/>
  <c r="F313" i="6"/>
  <c r="I313" i="6" s="1"/>
  <c r="K313" i="6"/>
  <c r="J309" i="6"/>
  <c r="K310" i="6"/>
  <c r="L311" i="6"/>
  <c r="J312" i="6"/>
  <c r="L313" i="6"/>
  <c r="H310" i="6"/>
  <c r="L310" i="6"/>
  <c r="M311" i="6"/>
  <c r="M313" i="6"/>
  <c r="I310" i="6"/>
  <c r="J311" i="6"/>
  <c r="J313" i="6"/>
  <c r="J326" i="6"/>
  <c r="M326" i="6"/>
  <c r="K326" i="6"/>
  <c r="H326" i="6"/>
  <c r="I325" i="6"/>
  <c r="M325" i="6"/>
  <c r="I327" i="6"/>
  <c r="L323" i="6"/>
  <c r="M324" i="6"/>
  <c r="J325" i="6"/>
  <c r="O325" i="6"/>
  <c r="L326" i="6"/>
  <c r="J327" i="6"/>
  <c r="O327" i="6"/>
  <c r="M327" i="6"/>
  <c r="I323" i="6"/>
  <c r="J324" i="6"/>
  <c r="K325" i="6"/>
  <c r="I326" i="6"/>
  <c r="K327" i="6"/>
  <c r="H325" i="6"/>
  <c r="H327" i="6"/>
  <c r="I245" i="6"/>
  <c r="M245" i="6"/>
  <c r="M247" i="6"/>
  <c r="L243" i="6"/>
  <c r="I244" i="6"/>
  <c r="M244" i="6"/>
  <c r="J245" i="6"/>
  <c r="O245" i="6"/>
  <c r="L246" i="6"/>
  <c r="J247" i="6"/>
  <c r="O247" i="6"/>
  <c r="I243" i="6"/>
  <c r="M243" i="6"/>
  <c r="K245" i="6"/>
  <c r="M246" i="6"/>
  <c r="K247" i="6"/>
  <c r="J243" i="6"/>
  <c r="J246" i="6"/>
  <c r="M191" i="6"/>
  <c r="J192" i="6"/>
  <c r="J194" i="6"/>
  <c r="J191" i="6"/>
  <c r="O191" i="6"/>
  <c r="F192" i="6"/>
  <c r="I192" i="6" s="1"/>
  <c r="K192" i="6"/>
  <c r="I193" i="6"/>
  <c r="M193" i="6"/>
  <c r="F194" i="6"/>
  <c r="I194" i="6" s="1"/>
  <c r="K194" i="6"/>
  <c r="M192" i="6"/>
  <c r="M194" i="6"/>
  <c r="I191" i="6"/>
  <c r="O192" i="6"/>
  <c r="O194" i="6"/>
  <c r="I139" i="6"/>
  <c r="M139" i="6"/>
  <c r="L137" i="6"/>
  <c r="M138" i="6"/>
  <c r="J139" i="6"/>
  <c r="O139" i="6"/>
  <c r="L140" i="6"/>
  <c r="J141" i="6"/>
  <c r="O141" i="6"/>
  <c r="M141" i="6"/>
  <c r="I137" i="6"/>
  <c r="J138" i="6"/>
  <c r="K139" i="6"/>
  <c r="I140" i="6"/>
  <c r="M140" i="6"/>
  <c r="F141" i="6"/>
  <c r="I141" i="6" s="1"/>
  <c r="K141" i="6"/>
  <c r="H139" i="6"/>
  <c r="J140" i="6"/>
  <c r="H89" i="6"/>
  <c r="M89" i="6"/>
  <c r="J89" i="6"/>
  <c r="K178" i="6"/>
  <c r="O223" i="6"/>
  <c r="O224" i="6" s="1"/>
  <c r="H118" i="6"/>
  <c r="O118" i="6"/>
  <c r="O119" i="6" s="1"/>
  <c r="I221" i="6"/>
  <c r="H223" i="6"/>
  <c r="H293" i="6"/>
  <c r="N21" i="6"/>
  <c r="N22" i="6" s="1"/>
  <c r="J178" i="6"/>
  <c r="O275" i="6"/>
  <c r="O276" i="6" s="1"/>
  <c r="O293" i="6"/>
  <c r="O294" i="6" s="1"/>
  <c r="O303" i="6" s="1"/>
  <c r="I295" i="6"/>
  <c r="I303" i="6" s="1"/>
  <c r="I89" i="6"/>
  <c r="O21" i="6"/>
  <c r="H295" i="6"/>
  <c r="O273" i="6"/>
  <c r="O274" i="6" s="1"/>
  <c r="O221" i="6"/>
  <c r="O222" i="6" s="1"/>
  <c r="I169" i="6"/>
  <c r="I178" i="6" s="1"/>
  <c r="H169" i="6"/>
  <c r="H65" i="6"/>
  <c r="O65" i="6"/>
  <c r="O66" i="6" s="1"/>
  <c r="K21" i="6"/>
  <c r="J21" i="6"/>
  <c r="H21" i="6"/>
  <c r="I21" i="6"/>
  <c r="I18" i="6"/>
  <c r="M18" i="6"/>
  <c r="J18" i="6"/>
  <c r="K18" i="6"/>
  <c r="C377" i="4"/>
  <c r="C369" i="4"/>
  <c r="C697" i="4"/>
  <c r="L401" i="6"/>
  <c r="C499" i="4"/>
  <c r="C500" i="4" s="1"/>
  <c r="F19" i="11"/>
  <c r="C19" i="11"/>
  <c r="B19" i="11"/>
  <c r="D19" i="11"/>
  <c r="H19" i="11"/>
  <c r="G19" i="11"/>
  <c r="E19" i="11"/>
  <c r="D401" i="6"/>
  <c r="F401" i="6" s="1"/>
  <c r="L397" i="6"/>
  <c r="D397" i="6"/>
  <c r="F397" i="6" s="1"/>
  <c r="D396" i="6"/>
  <c r="F396" i="6" s="1"/>
  <c r="C287" i="4" s="1"/>
  <c r="D395" i="6"/>
  <c r="F395" i="6" s="1"/>
  <c r="N54" i="6"/>
  <c r="M53" i="6"/>
  <c r="L53" i="6"/>
  <c r="I53" i="6"/>
  <c r="H53" i="6"/>
  <c r="C55" i="4"/>
  <c r="I263" i="6"/>
  <c r="H263" i="6"/>
  <c r="I262" i="6"/>
  <c r="H262" i="6"/>
  <c r="A262" i="6"/>
  <c r="Q261" i="6"/>
  <c r="Q260" i="6"/>
  <c r="I260" i="6"/>
  <c r="I212" i="6"/>
  <c r="H212" i="6"/>
  <c r="I211" i="6"/>
  <c r="H211" i="6"/>
  <c r="A211" i="6"/>
  <c r="Q210" i="6"/>
  <c r="Q209" i="6"/>
  <c r="I209" i="6"/>
  <c r="I157" i="6"/>
  <c r="H157" i="6"/>
  <c r="I156" i="6"/>
  <c r="H156" i="6"/>
  <c r="A156" i="6"/>
  <c r="Q155" i="6"/>
  <c r="Q154" i="6"/>
  <c r="I154" i="6"/>
  <c r="I337" i="6"/>
  <c r="H337" i="6"/>
  <c r="I336" i="6"/>
  <c r="H336" i="6"/>
  <c r="A336" i="6"/>
  <c r="E334" i="6"/>
  <c r="H334" i="6" s="1"/>
  <c r="C333" i="6"/>
  <c r="J334" i="6" s="1"/>
  <c r="N333" i="6" s="1"/>
  <c r="C231" i="4" s="1"/>
  <c r="M389" i="6"/>
  <c r="A391" i="6"/>
  <c r="A392" i="6"/>
  <c r="H392" i="6"/>
  <c r="I392" i="6" s="1"/>
  <c r="O93" i="6"/>
  <c r="M93" i="6"/>
  <c r="M94" i="6"/>
  <c r="M95" i="6"/>
  <c r="M96" i="6"/>
  <c r="L93" i="6"/>
  <c r="M46" i="6"/>
  <c r="L46" i="6"/>
  <c r="N5" i="6"/>
  <c r="M5" i="6"/>
  <c r="N8" i="6"/>
  <c r="M14" i="6"/>
  <c r="O91" i="6"/>
  <c r="Q34" i="6"/>
  <c r="L29" i="6"/>
  <c r="F23" i="6"/>
  <c r="K3" i="11"/>
  <c r="K1" i="11" s="1"/>
  <c r="J3" i="11"/>
  <c r="J1" i="11" s="1"/>
  <c r="I3" i="11"/>
  <c r="I1" i="11" s="1"/>
  <c r="L1" i="11"/>
  <c r="M1" i="11"/>
  <c r="N1" i="11"/>
  <c r="O1" i="11"/>
  <c r="H3" i="11"/>
  <c r="G3" i="11"/>
  <c r="F3" i="11"/>
  <c r="E3" i="11"/>
  <c r="D3" i="11"/>
  <c r="C3" i="11"/>
  <c r="C1" i="11" s="1"/>
  <c r="D1" i="11"/>
  <c r="M42" i="6"/>
  <c r="I19" i="11"/>
  <c r="G401" i="6" l="1"/>
  <c r="C289" i="4"/>
  <c r="H379" i="6"/>
  <c r="G404" i="6"/>
  <c r="C290" i="4"/>
  <c r="C298" i="4"/>
  <c r="H178" i="6"/>
  <c r="C128" i="4" s="1"/>
  <c r="H363" i="6"/>
  <c r="O349" i="6"/>
  <c r="H349" i="6"/>
  <c r="M349" i="6"/>
  <c r="L349" i="6"/>
  <c r="H318" i="6"/>
  <c r="M379" i="6"/>
  <c r="I379" i="6"/>
  <c r="L318" i="6"/>
  <c r="I349" i="6"/>
  <c r="B265" i="6"/>
  <c r="C259" i="6" s="1"/>
  <c r="I318" i="6"/>
  <c r="M318" i="6"/>
  <c r="G396" i="6"/>
  <c r="C380" i="4"/>
  <c r="C381" i="4"/>
  <c r="C505" i="4"/>
  <c r="C506" i="4" s="1"/>
  <c r="B214" i="6"/>
  <c r="C208" i="6" s="1"/>
  <c r="H303" i="6"/>
  <c r="B112" i="6"/>
  <c r="C106" i="6" s="1"/>
  <c r="H394" i="6" s="1"/>
  <c r="C304" i="4" s="1"/>
  <c r="E333" i="6"/>
  <c r="H333" i="6" s="1"/>
  <c r="I107" i="6"/>
  <c r="M107" i="6" s="1"/>
  <c r="M113" i="6" s="1"/>
  <c r="E260" i="6"/>
  <c r="H260" i="6" s="1"/>
  <c r="E209" i="6"/>
  <c r="H209" i="6" s="1"/>
  <c r="E154" i="6"/>
  <c r="H154" i="6" s="1"/>
  <c r="M90" i="6"/>
  <c r="M27" i="6"/>
  <c r="I333" i="6"/>
  <c r="M88" i="6"/>
  <c r="C17" i="11"/>
  <c r="D17" i="11"/>
  <c r="E17" i="11"/>
  <c r="F17" i="11"/>
  <c r="G17" i="11"/>
  <c r="H17" i="11"/>
  <c r="I17" i="11"/>
  <c r="J17" i="11"/>
  <c r="B17" i="11"/>
  <c r="K17" i="11"/>
  <c r="C219" i="4"/>
  <c r="O146" i="6"/>
  <c r="N146" i="6"/>
  <c r="N148" i="6" s="1"/>
  <c r="M146" i="6"/>
  <c r="L146" i="6"/>
  <c r="K146" i="6"/>
  <c r="J146" i="6"/>
  <c r="D146" i="6"/>
  <c r="F146" i="6" s="1"/>
  <c r="I146" i="6" s="1"/>
  <c r="O95" i="6"/>
  <c r="L94" i="6"/>
  <c r="O94" i="6"/>
  <c r="O96" i="6"/>
  <c r="M92" i="6"/>
  <c r="M91" i="6"/>
  <c r="N127" i="6"/>
  <c r="N76" i="6"/>
  <c r="H73" i="6"/>
  <c r="I73" i="6"/>
  <c r="I72" i="6"/>
  <c r="H72" i="6"/>
  <c r="O72" i="6"/>
  <c r="L72" i="6"/>
  <c r="K72" i="6"/>
  <c r="K76" i="6" s="1"/>
  <c r="J76" i="6"/>
  <c r="O46" i="6"/>
  <c r="E44" i="6"/>
  <c r="O44" i="6" s="1"/>
  <c r="M47" i="6"/>
  <c r="E42" i="6"/>
  <c r="O42" i="6" s="1"/>
  <c r="N23" i="6"/>
  <c r="N25" i="6" s="1"/>
  <c r="M23" i="6"/>
  <c r="M25" i="6" s="1"/>
  <c r="L23" i="6"/>
  <c r="L25" i="6" s="1"/>
  <c r="K23" i="6"/>
  <c r="K25" i="6" s="1"/>
  <c r="J23" i="6"/>
  <c r="J25" i="6" s="1"/>
  <c r="M22" i="6"/>
  <c r="L20" i="6"/>
  <c r="L22" i="6" s="1"/>
  <c r="K20" i="6"/>
  <c r="K22" i="6" s="1"/>
  <c r="J20" i="6"/>
  <c r="J22" i="6" s="1"/>
  <c r="N19" i="6"/>
  <c r="M19" i="6"/>
  <c r="L19" i="6"/>
  <c r="K17" i="6"/>
  <c r="K19" i="6" s="1"/>
  <c r="J17" i="6"/>
  <c r="J19" i="6" s="1"/>
  <c r="N16" i="6"/>
  <c r="M16" i="6"/>
  <c r="L16" i="6"/>
  <c r="K14" i="6"/>
  <c r="K16" i="6" s="1"/>
  <c r="J14" i="6"/>
  <c r="J16" i="6" s="1"/>
  <c r="N13" i="6"/>
  <c r="M13" i="6"/>
  <c r="L11" i="6"/>
  <c r="L13" i="6" s="1"/>
  <c r="K11" i="6"/>
  <c r="K13" i="6" s="1"/>
  <c r="J11" i="6"/>
  <c r="J13" i="6" s="1"/>
  <c r="N10" i="6"/>
  <c r="M10" i="6"/>
  <c r="L10" i="6"/>
  <c r="K8" i="6"/>
  <c r="K10" i="6" s="1"/>
  <c r="J8" i="6"/>
  <c r="J10" i="6" s="1"/>
  <c r="I23" i="6"/>
  <c r="I25" i="6" s="1"/>
  <c r="H23" i="6"/>
  <c r="H25" i="6" s="1"/>
  <c r="G23" i="6"/>
  <c r="G25" i="6" s="1"/>
  <c r="I20" i="6"/>
  <c r="I22" i="6" s="1"/>
  <c r="H20" i="6"/>
  <c r="H22" i="6" s="1"/>
  <c r="G20" i="6"/>
  <c r="G22" i="6" s="1"/>
  <c r="I17" i="6"/>
  <c r="I19" i="6" s="1"/>
  <c r="H17" i="6"/>
  <c r="H19" i="6" s="1"/>
  <c r="G17" i="6"/>
  <c r="G19" i="6" s="1"/>
  <c r="P16" i="6"/>
  <c r="P14" i="6"/>
  <c r="I14" i="6"/>
  <c r="I16" i="6" s="1"/>
  <c r="H14" i="6"/>
  <c r="H16" i="6" s="1"/>
  <c r="G14" i="6"/>
  <c r="G16" i="6" s="1"/>
  <c r="G405" i="6" l="1"/>
  <c r="C300" i="4"/>
  <c r="C625" i="4"/>
  <c r="C632" i="4"/>
  <c r="G402" i="6"/>
  <c r="C299" i="4"/>
  <c r="C507" i="4"/>
  <c r="G397" i="6"/>
  <c r="C297" i="4" s="1"/>
  <c r="I106" i="6"/>
  <c r="C256" i="4" s="1"/>
  <c r="H146" i="6"/>
  <c r="I127" i="6"/>
  <c r="C251" i="4" s="1"/>
  <c r="M127" i="6"/>
  <c r="C185" i="4" s="1"/>
  <c r="C202" i="4" s="1"/>
  <c r="L127" i="6"/>
  <c r="C184" i="4" s="1"/>
  <c r="C201" i="4" s="1"/>
  <c r="L76" i="6"/>
  <c r="C220" i="4"/>
  <c r="M76" i="6"/>
  <c r="C134" i="4"/>
  <c r="C218" i="4"/>
  <c r="C263" i="4"/>
  <c r="O148" i="6"/>
  <c r="O127" i="6"/>
  <c r="C186" i="4" s="1"/>
  <c r="C203" i="4" s="1"/>
  <c r="K127" i="6"/>
  <c r="H127" i="6"/>
  <c r="C122" i="4" s="1"/>
  <c r="J127" i="6"/>
  <c r="O76" i="6"/>
  <c r="C631" i="4" l="1"/>
  <c r="C624" i="4"/>
  <c r="C627" i="4"/>
  <c r="C634" i="4"/>
  <c r="C633" i="4"/>
  <c r="C626" i="4"/>
  <c r="C491" i="4"/>
  <c r="H148" i="6"/>
  <c r="K148" i="6"/>
  <c r="L148" i="6"/>
  <c r="M148" i="6"/>
  <c r="I148" i="6"/>
  <c r="J148" i="6"/>
  <c r="N376" i="4"/>
  <c r="N375" i="4"/>
  <c r="F28" i="6"/>
  <c r="F29" i="6"/>
  <c r="F27" i="6"/>
  <c r="M29" i="6"/>
  <c r="M43" i="6"/>
  <c r="M54" i="6" s="1"/>
  <c r="C168" i="4" s="1"/>
  <c r="L43" i="6"/>
  <c r="N7" i="6"/>
  <c r="N26" i="6" s="1"/>
  <c r="C151" i="4" s="1"/>
  <c r="M7" i="6"/>
  <c r="M26" i="6" s="1"/>
  <c r="C150" i="4" s="1"/>
  <c r="S113" i="6" l="1"/>
  <c r="C678" i="4" l="1"/>
  <c r="F88" i="6"/>
  <c r="I88" i="6" s="1"/>
  <c r="Q108" i="6"/>
  <c r="Q107" i="6"/>
  <c r="C671" i="4" l="1"/>
  <c r="C672" i="4"/>
  <c r="B415" i="6"/>
  <c r="B414" i="6"/>
  <c r="C411" i="6"/>
  <c r="B411" i="6"/>
  <c r="B412" i="6"/>
  <c r="E1" i="11"/>
  <c r="G5" i="6"/>
  <c r="F91" i="6"/>
  <c r="I91" i="6" s="1"/>
  <c r="C259" i="4" s="1"/>
  <c r="F92" i="6"/>
  <c r="I93" i="6"/>
  <c r="I94" i="6"/>
  <c r="I95" i="6"/>
  <c r="J93" i="6"/>
  <c r="K93" i="6"/>
  <c r="B413" i="6" l="1"/>
  <c r="C415" i="6"/>
  <c r="I92" i="6"/>
  <c r="H95" i="6"/>
  <c r="H94" i="6"/>
  <c r="H93" i="6"/>
  <c r="H92" i="6"/>
  <c r="H91" i="6"/>
  <c r="F1" i="11"/>
  <c r="G1" i="11"/>
  <c r="H1" i="11"/>
  <c r="O411" i="6"/>
  <c r="O412" i="6" s="1"/>
  <c r="A109" i="6"/>
  <c r="O45" i="6" l="1"/>
  <c r="O74" i="6"/>
  <c r="O75" i="6" s="1"/>
  <c r="K74" i="6"/>
  <c r="K75" i="6" s="1"/>
  <c r="I75" i="6"/>
  <c r="I74" i="6"/>
  <c r="H74" i="6"/>
  <c r="K91" i="6"/>
  <c r="K92" i="6"/>
  <c r="O43" i="6"/>
  <c r="L45" i="6"/>
  <c r="K44" i="6"/>
  <c r="K45" i="6" s="1"/>
  <c r="K42" i="6"/>
  <c r="K43" i="6" s="1"/>
  <c r="H27" i="6"/>
  <c r="O30" i="6"/>
  <c r="N29" i="6"/>
  <c r="N30" i="6" s="1"/>
  <c r="M30" i="6"/>
  <c r="L30" i="6"/>
  <c r="K29" i="6"/>
  <c r="K30" i="6" s="1"/>
  <c r="O28" i="6"/>
  <c r="N27" i="6"/>
  <c r="N28" i="6" s="1"/>
  <c r="J29" i="6"/>
  <c r="J30" i="6" s="1"/>
  <c r="I29" i="6"/>
  <c r="H29" i="6"/>
  <c r="G29" i="6"/>
  <c r="I11" i="6"/>
  <c r="H11" i="6"/>
  <c r="H13" i="6" s="1"/>
  <c r="G11" i="6"/>
  <c r="G13" i="6" s="1"/>
  <c r="C59" i="4"/>
  <c r="L394" i="6"/>
  <c r="Y4" i="11"/>
  <c r="Y5" i="11"/>
  <c r="Y21" i="11"/>
  <c r="L396" i="6"/>
  <c r="M394" i="6"/>
  <c r="G7" i="6"/>
  <c r="G8" i="6"/>
  <c r="G10" i="6" s="1"/>
  <c r="G27" i="6"/>
  <c r="H5" i="6"/>
  <c r="H7" i="6" s="1"/>
  <c r="H8" i="6"/>
  <c r="H10" i="6" s="1"/>
  <c r="H88" i="6"/>
  <c r="H90" i="6"/>
  <c r="L28" i="6"/>
  <c r="I5" i="6"/>
  <c r="I7" i="6" s="1"/>
  <c r="I8" i="6"/>
  <c r="I10" i="6" s="1"/>
  <c r="I27" i="6"/>
  <c r="B103" i="6"/>
  <c r="E103" i="6" s="1"/>
  <c r="C684" i="4"/>
  <c r="C685" i="4"/>
  <c r="E64" i="6"/>
  <c r="E107" i="6"/>
  <c r="H107" i="6" s="1"/>
  <c r="F90" i="6"/>
  <c r="I90" i="6" s="1"/>
  <c r="D394" i="6"/>
  <c r="B407" i="6"/>
  <c r="F407" i="6" s="1"/>
  <c r="G40" i="6"/>
  <c r="G41" i="6" s="1"/>
  <c r="K5" i="6"/>
  <c r="K7" i="6" s="1"/>
  <c r="K26" i="6" s="1"/>
  <c r="B24" i="5"/>
  <c r="B1" i="11"/>
  <c r="C386" i="6"/>
  <c r="I386" i="6" s="1"/>
  <c r="O199" i="6"/>
  <c r="N199" i="6"/>
  <c r="M199" i="6"/>
  <c r="L199" i="6"/>
  <c r="K199" i="6"/>
  <c r="J199" i="6"/>
  <c r="D199" i="6"/>
  <c r="F199" i="6" s="1"/>
  <c r="I199" i="6" s="1"/>
  <c r="L7" i="6"/>
  <c r="L26" i="6" s="1"/>
  <c r="C149" i="4" s="1"/>
  <c r="C387" i="6"/>
  <c r="N387" i="6" s="1"/>
  <c r="H54" i="11"/>
  <c r="F48" i="11"/>
  <c r="G48" i="11" s="1"/>
  <c r="F51" i="11"/>
  <c r="G51" i="11" s="1"/>
  <c r="E55" i="11"/>
  <c r="F55" i="11" s="1"/>
  <c r="G55" i="11" s="1"/>
  <c r="E54" i="11"/>
  <c r="E53" i="11"/>
  <c r="F53" i="11" s="1"/>
  <c r="G53" i="11" s="1"/>
  <c r="E52" i="11"/>
  <c r="F52" i="11"/>
  <c r="G52" i="11" s="1"/>
  <c r="E50" i="11"/>
  <c r="F50" i="11" s="1"/>
  <c r="G50" i="11" s="1"/>
  <c r="E49" i="11"/>
  <c r="F49" i="11" s="1"/>
  <c r="E47" i="11"/>
  <c r="F47" i="11"/>
  <c r="G47" i="11" s="1"/>
  <c r="M47" i="11" s="1"/>
  <c r="H40" i="11"/>
  <c r="E45" i="11"/>
  <c r="F45" i="11" s="1"/>
  <c r="G45" i="11" s="1"/>
  <c r="M45" i="11" s="1"/>
  <c r="E44" i="11"/>
  <c r="F44" i="11" s="1"/>
  <c r="E43" i="11"/>
  <c r="F43" i="11" s="1"/>
  <c r="E42" i="11"/>
  <c r="F42" i="11" s="1"/>
  <c r="E41" i="11"/>
  <c r="F41" i="11" s="1"/>
  <c r="G41" i="11" s="1"/>
  <c r="E40" i="11"/>
  <c r="D54" i="11"/>
  <c r="D51" i="11"/>
  <c r="D49" i="11"/>
  <c r="D50" i="11"/>
  <c r="D48" i="11"/>
  <c r="D46" i="11"/>
  <c r="D42" i="11"/>
  <c r="D41" i="11"/>
  <c r="D40" i="11"/>
  <c r="D39" i="11"/>
  <c r="M39" i="11" s="1"/>
  <c r="D38" i="11"/>
  <c r="M38" i="11" s="1"/>
  <c r="C53" i="11"/>
  <c r="C52" i="11"/>
  <c r="S52" i="11" s="1"/>
  <c r="K27" i="6"/>
  <c r="K28" i="6" s="1"/>
  <c r="M46" i="11"/>
  <c r="C16" i="11"/>
  <c r="D16" i="11"/>
  <c r="E16" i="11"/>
  <c r="C45" i="11"/>
  <c r="O45" i="11" s="1"/>
  <c r="C51" i="11"/>
  <c r="T51" i="11" s="1"/>
  <c r="C55" i="11"/>
  <c r="V55" i="11" s="1"/>
  <c r="C42" i="11"/>
  <c r="S42" i="11" s="1"/>
  <c r="G9" i="17"/>
  <c r="G10" i="17"/>
  <c r="B304" i="6"/>
  <c r="L48" i="6"/>
  <c r="L49" i="6" s="1"/>
  <c r="D321" i="6"/>
  <c r="N321" i="6" s="1"/>
  <c r="N332" i="6" s="1"/>
  <c r="O279" i="6"/>
  <c r="O280" i="6" s="1"/>
  <c r="L279" i="6"/>
  <c r="L280" i="6" s="1"/>
  <c r="K279" i="6"/>
  <c r="K280" i="6" s="1"/>
  <c r="I279" i="6"/>
  <c r="H279" i="6"/>
  <c r="O277" i="6"/>
  <c r="O278" i="6" s="1"/>
  <c r="L277" i="6"/>
  <c r="L278" i="6" s="1"/>
  <c r="K277" i="6"/>
  <c r="K278" i="6" s="1"/>
  <c r="J277" i="6"/>
  <c r="I277" i="6"/>
  <c r="H277" i="6"/>
  <c r="O252" i="6"/>
  <c r="N252" i="6"/>
  <c r="M252" i="6"/>
  <c r="L252" i="6"/>
  <c r="K252" i="6"/>
  <c r="J252" i="6"/>
  <c r="D252" i="6"/>
  <c r="H252" i="6" s="1"/>
  <c r="D98" i="6"/>
  <c r="F98" i="6" s="1"/>
  <c r="I98" i="6" s="1"/>
  <c r="G11" i="17"/>
  <c r="K90" i="6"/>
  <c r="O283" i="6"/>
  <c r="K283" i="6"/>
  <c r="J283" i="6"/>
  <c r="I283" i="6"/>
  <c r="H283" i="6"/>
  <c r="O281" i="6"/>
  <c r="O282" i="6" s="1"/>
  <c r="K281" i="6"/>
  <c r="K282" i="6" s="1"/>
  <c r="J281" i="6"/>
  <c r="J282" i="6" s="1"/>
  <c r="I281" i="6"/>
  <c r="H281" i="6"/>
  <c r="O227" i="6"/>
  <c r="O228" i="6" s="1"/>
  <c r="O225" i="6"/>
  <c r="O226" i="6" s="1"/>
  <c r="L227" i="6"/>
  <c r="L228" i="6" s="1"/>
  <c r="L225" i="6"/>
  <c r="L226" i="6" s="1"/>
  <c r="K227" i="6"/>
  <c r="K228" i="6" s="1"/>
  <c r="I227" i="6"/>
  <c r="H227" i="6"/>
  <c r="K225" i="6"/>
  <c r="K226" i="6" s="1"/>
  <c r="J225" i="6"/>
  <c r="I225" i="6"/>
  <c r="H225" i="6"/>
  <c r="E56" i="6"/>
  <c r="E55" i="6"/>
  <c r="H55" i="6" s="1"/>
  <c r="O48" i="6"/>
  <c r="O49" i="6" s="1"/>
  <c r="O47" i="6"/>
  <c r="K57" i="6"/>
  <c r="L47" i="6"/>
  <c r="K48" i="6"/>
  <c r="K49" i="6" s="1"/>
  <c r="K46" i="6"/>
  <c r="K47" i="6" s="1"/>
  <c r="L3" i="6"/>
  <c r="L4" i="6" s="1"/>
  <c r="J5" i="6"/>
  <c r="J7" i="6" s="1"/>
  <c r="J26" i="6" s="1"/>
  <c r="J27" i="6"/>
  <c r="J28" i="6" s="1"/>
  <c r="C54" i="11"/>
  <c r="C50" i="11"/>
  <c r="C38" i="11"/>
  <c r="C48" i="11"/>
  <c r="T48" i="11" s="1"/>
  <c r="C39" i="11"/>
  <c r="C43" i="11"/>
  <c r="T43" i="11" s="1"/>
  <c r="C44" i="11"/>
  <c r="U44" i="11" s="1"/>
  <c r="B133" i="6"/>
  <c r="B163" i="6"/>
  <c r="N255" i="6"/>
  <c r="N256" i="6" s="1"/>
  <c r="N257" i="6" s="1"/>
  <c r="O257" i="6" s="1"/>
  <c r="P88" i="6"/>
  <c r="C49" i="11"/>
  <c r="V49" i="11" s="1"/>
  <c r="C40" i="11"/>
  <c r="T40" i="11" s="1"/>
  <c r="C41" i="11"/>
  <c r="U41" i="11" s="1"/>
  <c r="V43" i="11"/>
  <c r="J88" i="6"/>
  <c r="J90" i="6"/>
  <c r="J91" i="6"/>
  <c r="J92" i="6"/>
  <c r="B19" i="17"/>
  <c r="D34" i="18"/>
  <c r="E34" i="18"/>
  <c r="L14" i="17"/>
  <c r="O14" i="17" s="1"/>
  <c r="R14" i="17" s="1"/>
  <c r="O17" i="17"/>
  <c r="G31" i="18"/>
  <c r="G27" i="18"/>
  <c r="G23" i="18"/>
  <c r="G19" i="18"/>
  <c r="G15" i="18"/>
  <c r="G11" i="18"/>
  <c r="G7" i="18"/>
  <c r="G3" i="18"/>
  <c r="G34" i="18"/>
  <c r="O15" i="17"/>
  <c r="R15" i="17" s="1"/>
  <c r="J57" i="6"/>
  <c r="L57" i="6"/>
  <c r="L305" i="6"/>
  <c r="K305" i="6"/>
  <c r="J305" i="6"/>
  <c r="E304" i="6"/>
  <c r="H304" i="6" s="1"/>
  <c r="H305" i="6" s="1"/>
  <c r="L290" i="6"/>
  <c r="K290" i="6"/>
  <c r="J290" i="6"/>
  <c r="L240" i="6"/>
  <c r="K240" i="6"/>
  <c r="J240" i="6"/>
  <c r="E239" i="6"/>
  <c r="B239" i="6"/>
  <c r="L219" i="6"/>
  <c r="K219" i="6"/>
  <c r="J219" i="6"/>
  <c r="E218" i="6"/>
  <c r="B218" i="6"/>
  <c r="L187" i="6"/>
  <c r="K187" i="6"/>
  <c r="J187" i="6"/>
  <c r="E186" i="6"/>
  <c r="B186" i="6"/>
  <c r="L164" i="6"/>
  <c r="K164" i="6"/>
  <c r="J164" i="6"/>
  <c r="E163" i="6"/>
  <c r="L134" i="6"/>
  <c r="K134" i="6"/>
  <c r="J134" i="6"/>
  <c r="E133" i="6"/>
  <c r="J85" i="6"/>
  <c r="K85" i="6"/>
  <c r="L85" i="6"/>
  <c r="H83" i="6"/>
  <c r="N83" i="6"/>
  <c r="L98" i="6"/>
  <c r="L100" i="6" s="1"/>
  <c r="C179" i="4" s="1"/>
  <c r="C196" i="4" s="1"/>
  <c r="K98" i="6"/>
  <c r="O98" i="6"/>
  <c r="O100" i="6" s="1"/>
  <c r="C182" i="4" s="1"/>
  <c r="J98" i="6"/>
  <c r="H321" i="6"/>
  <c r="H332" i="6" s="1"/>
  <c r="C139" i="4" s="1"/>
  <c r="I83" i="6"/>
  <c r="M83" i="6"/>
  <c r="K231" i="6"/>
  <c r="J231" i="6"/>
  <c r="O231" i="6"/>
  <c r="I231" i="6"/>
  <c r="O229" i="6"/>
  <c r="O230" i="6" s="1"/>
  <c r="K229" i="6"/>
  <c r="K230" i="6" s="1"/>
  <c r="J229" i="6"/>
  <c r="J230" i="6" s="1"/>
  <c r="I229" i="6"/>
  <c r="H229" i="6"/>
  <c r="F180" i="6"/>
  <c r="H43" i="6"/>
  <c r="I43" i="6"/>
  <c r="H45" i="6"/>
  <c r="H46" i="6"/>
  <c r="H47" i="6"/>
  <c r="H49" i="6"/>
  <c r="I50" i="6"/>
  <c r="H51" i="6"/>
  <c r="H52" i="6"/>
  <c r="H44" i="6"/>
  <c r="I51" i="6"/>
  <c r="I49" i="6"/>
  <c r="I47" i="6"/>
  <c r="I46" i="6"/>
  <c r="I45" i="6"/>
  <c r="I44" i="6"/>
  <c r="M55" i="6"/>
  <c r="H231" i="6"/>
  <c r="L17" i="11"/>
  <c r="C47" i="11" s="1"/>
  <c r="G413" i="6"/>
  <c r="G414" i="6" s="1"/>
  <c r="N17" i="11"/>
  <c r="O17" i="11"/>
  <c r="C162" i="6"/>
  <c r="H162" i="6" s="1"/>
  <c r="C217" i="6"/>
  <c r="I217" i="6" s="1"/>
  <c r="C46" i="11"/>
  <c r="V46" i="11" s="1"/>
  <c r="D413" i="6"/>
  <c r="D412" i="6"/>
  <c r="N16" i="17"/>
  <c r="B270" i="6"/>
  <c r="H270" i="6" s="1"/>
  <c r="B216" i="6"/>
  <c r="N216" i="6" s="1"/>
  <c r="B185" i="6"/>
  <c r="I185" i="6" s="1"/>
  <c r="B161" i="6"/>
  <c r="N161" i="6" s="1"/>
  <c r="B114" i="6"/>
  <c r="H114" i="6" s="1"/>
  <c r="B82" i="6"/>
  <c r="N82" i="6" s="1"/>
  <c r="L62" i="6"/>
  <c r="K62" i="6"/>
  <c r="J62" i="6"/>
  <c r="N62" i="6"/>
  <c r="L332" i="6"/>
  <c r="C229" i="4" s="1"/>
  <c r="O332" i="6"/>
  <c r="C232" i="4" s="1"/>
  <c r="H62" i="6"/>
  <c r="H216" i="6"/>
  <c r="B256" i="6"/>
  <c r="E256" i="6" s="1"/>
  <c r="C26" i="18"/>
  <c r="M62" i="6"/>
  <c r="I62" i="6"/>
  <c r="B203" i="6"/>
  <c r="E203" i="6" s="1"/>
  <c r="N16" i="11"/>
  <c r="O16" i="11"/>
  <c r="P16" i="11"/>
  <c r="P1" i="11"/>
  <c r="H9" i="17"/>
  <c r="H10" i="17"/>
  <c r="D408" i="6"/>
  <c r="E408" i="6"/>
  <c r="I257" i="6"/>
  <c r="L257" i="6"/>
  <c r="L258" i="6" s="1"/>
  <c r="O51" i="6"/>
  <c r="O52" i="6" s="1"/>
  <c r="O53" i="6" s="1"/>
  <c r="K51" i="6"/>
  <c r="K52" i="6" s="1"/>
  <c r="K53" i="6" s="1"/>
  <c r="P42" i="6"/>
  <c r="P5" i="6"/>
  <c r="H214" i="6"/>
  <c r="H129" i="6"/>
  <c r="I129" i="6"/>
  <c r="N129" i="6"/>
  <c r="N130" i="6" s="1"/>
  <c r="N131" i="6" s="1"/>
  <c r="Q45" i="6"/>
  <c r="Q44" i="6"/>
  <c r="Q42" i="6"/>
  <c r="L64" i="6"/>
  <c r="J42" i="6"/>
  <c r="J43" i="6" s="1"/>
  <c r="J54" i="6" s="1"/>
  <c r="F31" i="18"/>
  <c r="H31" i="18" s="1"/>
  <c r="M98" i="6"/>
  <c r="M100" i="6" s="1"/>
  <c r="C180" i="4" s="1"/>
  <c r="B150" i="6"/>
  <c r="I150" i="6" s="1"/>
  <c r="B159" i="6"/>
  <c r="C25" i="18"/>
  <c r="F27" i="18" s="1"/>
  <c r="H27" i="18" s="1"/>
  <c r="E12" i="17" s="1"/>
  <c r="H407" i="6"/>
  <c r="H408" i="6" s="1"/>
  <c r="J11" i="17"/>
  <c r="B30" i="5"/>
  <c r="B32" i="11"/>
  <c r="AB22" i="11"/>
  <c r="B16" i="11"/>
  <c r="S32" i="11"/>
  <c r="R32" i="11"/>
  <c r="Q32" i="11"/>
  <c r="P32" i="11"/>
  <c r="O32" i="11"/>
  <c r="N32" i="11"/>
  <c r="L32" i="11"/>
  <c r="K32" i="11"/>
  <c r="J32" i="11"/>
  <c r="I32" i="11"/>
  <c r="H32" i="11"/>
  <c r="G32" i="11"/>
  <c r="F32" i="11"/>
  <c r="E32" i="11"/>
  <c r="D32" i="11"/>
  <c r="C32" i="11"/>
  <c r="L16" i="11"/>
  <c r="K16" i="11"/>
  <c r="J16" i="11"/>
  <c r="I16" i="11"/>
  <c r="H16" i="11"/>
  <c r="G16" i="11"/>
  <c r="F16" i="11"/>
  <c r="E266" i="6"/>
  <c r="H266" i="6" s="1"/>
  <c r="I265" i="6"/>
  <c r="H265" i="6"/>
  <c r="B241" i="6"/>
  <c r="Q237" i="6"/>
  <c r="I237" i="6"/>
  <c r="H237" i="6"/>
  <c r="L236" i="6"/>
  <c r="I236" i="6"/>
  <c r="H236" i="6"/>
  <c r="N235" i="6"/>
  <c r="N236" i="6" s="1"/>
  <c r="N237" i="6" s="1"/>
  <c r="I235" i="6"/>
  <c r="H235" i="6"/>
  <c r="I214" i="6"/>
  <c r="I206" i="6"/>
  <c r="B188" i="6"/>
  <c r="Q183" i="6"/>
  <c r="I183" i="6"/>
  <c r="H183" i="6"/>
  <c r="L182" i="6"/>
  <c r="I182" i="6"/>
  <c r="H182" i="6"/>
  <c r="N181" i="6"/>
  <c r="N182" i="6" s="1"/>
  <c r="N183" i="6" s="1"/>
  <c r="I181" i="6"/>
  <c r="H181" i="6"/>
  <c r="B135" i="6"/>
  <c r="I159" i="6"/>
  <c r="H159" i="6"/>
  <c r="I151" i="6"/>
  <c r="Q131" i="6"/>
  <c r="I131" i="6"/>
  <c r="H131" i="6"/>
  <c r="L130" i="6"/>
  <c r="I130" i="6"/>
  <c r="H130" i="6"/>
  <c r="M35" i="6"/>
  <c r="M36" i="6" s="1"/>
  <c r="M37" i="6" s="1"/>
  <c r="I35" i="6"/>
  <c r="M28" i="6"/>
  <c r="P7" i="6"/>
  <c r="I267" i="6"/>
  <c r="H267" i="6"/>
  <c r="I266" i="6"/>
  <c r="O64" i="6"/>
  <c r="I112" i="6"/>
  <c r="H112" i="6"/>
  <c r="I110" i="6"/>
  <c r="H110" i="6"/>
  <c r="N98" i="6"/>
  <c r="N100" i="6" s="1"/>
  <c r="L79" i="6"/>
  <c r="Q80" i="6"/>
  <c r="I104" i="6"/>
  <c r="I78" i="6"/>
  <c r="I80" i="6"/>
  <c r="N78" i="6"/>
  <c r="N79" i="6" s="1"/>
  <c r="N80" i="6" s="1"/>
  <c r="H39" i="6"/>
  <c r="I79" i="6"/>
  <c r="I36" i="6"/>
  <c r="H78" i="6"/>
  <c r="H79" i="6"/>
  <c r="H80" i="6"/>
  <c r="H42" i="6"/>
  <c r="H48" i="6"/>
  <c r="H35" i="6"/>
  <c r="H36" i="6"/>
  <c r="I48" i="6"/>
  <c r="I42" i="6"/>
  <c r="B18" i="5"/>
  <c r="B16" i="5"/>
  <c r="B14" i="5"/>
  <c r="N35" i="6"/>
  <c r="N36" i="6" s="1"/>
  <c r="N37" i="6" s="1"/>
  <c r="C160" i="4" s="1"/>
  <c r="J9" i="17"/>
  <c r="Y13" i="11"/>
  <c r="Y30" i="11"/>
  <c r="Y14" i="11"/>
  <c r="Y25" i="11"/>
  <c r="Y7" i="11"/>
  <c r="Y9" i="11"/>
  <c r="Y11" i="11"/>
  <c r="Y6" i="11"/>
  <c r="Y8" i="11"/>
  <c r="Y10" i="11"/>
  <c r="Y12" i="11"/>
  <c r="Y20" i="11"/>
  <c r="Y22" i="11"/>
  <c r="Y23" i="11"/>
  <c r="Y24" i="11"/>
  <c r="Y26" i="11"/>
  <c r="Y27" i="11"/>
  <c r="Y28" i="11"/>
  <c r="Y29" i="11"/>
  <c r="L206" i="6"/>
  <c r="L207" i="6" s="1"/>
  <c r="L151" i="6"/>
  <c r="L152" i="6" s="1"/>
  <c r="N269" i="6"/>
  <c r="J10" i="17"/>
  <c r="I109" i="6"/>
  <c r="H109" i="6"/>
  <c r="C10" i="18"/>
  <c r="L9" i="17"/>
  <c r="C27" i="18"/>
  <c r="C15" i="18"/>
  <c r="C21" i="18"/>
  <c r="F23" i="18" s="1"/>
  <c r="H23" i="18" s="1"/>
  <c r="L13" i="17"/>
  <c r="O13" i="17" s="1"/>
  <c r="C17" i="18"/>
  <c r="F19" i="18" s="1"/>
  <c r="H19" i="18" s="1"/>
  <c r="E10" i="17" s="1"/>
  <c r="O10" i="17" s="1"/>
  <c r="C22" i="18"/>
  <c r="C19" i="18"/>
  <c r="C23" i="18"/>
  <c r="F34" i="18"/>
  <c r="H34" i="18"/>
  <c r="C504" i="4" l="1"/>
  <c r="C214" i="4"/>
  <c r="C197" i="4"/>
  <c r="C216" i="4"/>
  <c r="C199" i="4"/>
  <c r="C155" i="4"/>
  <c r="C154" i="4"/>
  <c r="H133" i="6"/>
  <c r="H134" i="6" s="1"/>
  <c r="N55" i="6"/>
  <c r="C153" i="6"/>
  <c r="H217" i="6"/>
  <c r="O284" i="6"/>
  <c r="C110" i="4"/>
  <c r="H232" i="6"/>
  <c r="L232" i="6"/>
  <c r="M186" i="6"/>
  <c r="M187" i="6" s="1"/>
  <c r="I232" i="6"/>
  <c r="I114" i="6"/>
  <c r="J226" i="6"/>
  <c r="J232" i="6" s="1"/>
  <c r="K232" i="6"/>
  <c r="O232" i="6"/>
  <c r="H284" i="6"/>
  <c r="K284" i="6"/>
  <c r="J278" i="6"/>
  <c r="J284" i="6" s="1"/>
  <c r="I284" i="6"/>
  <c r="L284" i="6"/>
  <c r="L54" i="6"/>
  <c r="U52" i="11"/>
  <c r="N217" i="6"/>
  <c r="C171" i="4"/>
  <c r="C213" i="4"/>
  <c r="H238" i="6"/>
  <c r="K54" i="6"/>
  <c r="O54" i="6"/>
  <c r="H185" i="6"/>
  <c r="I56" i="6"/>
  <c r="H37" i="6"/>
  <c r="C111" i="4" s="1"/>
  <c r="I52" i="6"/>
  <c r="I54" i="6" s="1"/>
  <c r="C241" i="4" s="1"/>
  <c r="M216" i="6"/>
  <c r="N56" i="6"/>
  <c r="H239" i="6"/>
  <c r="H240" i="6" s="1"/>
  <c r="C153" i="4"/>
  <c r="M114" i="6"/>
  <c r="I216" i="6"/>
  <c r="N185" i="6"/>
  <c r="I37" i="6"/>
  <c r="C240" i="4" s="1"/>
  <c r="I238" i="6"/>
  <c r="I218" i="6"/>
  <c r="I219" i="6" s="1"/>
  <c r="N386" i="6"/>
  <c r="N389" i="6" s="1"/>
  <c r="H98" i="6"/>
  <c r="H100" i="6" s="1"/>
  <c r="O386" i="6"/>
  <c r="O389" i="6" s="1"/>
  <c r="H56" i="6"/>
  <c r="H57" i="6" s="1"/>
  <c r="C113" i="4" s="1"/>
  <c r="L386" i="6"/>
  <c r="L389" i="6" s="1"/>
  <c r="I290" i="6"/>
  <c r="C264" i="4" s="1"/>
  <c r="F394" i="6"/>
  <c r="N270" i="6"/>
  <c r="H50" i="6"/>
  <c r="H54" i="6" s="1"/>
  <c r="C112" i="4" s="1"/>
  <c r="N186" i="6"/>
  <c r="N187" i="6" s="1"/>
  <c r="N304" i="6"/>
  <c r="N305" i="6" s="1"/>
  <c r="H386" i="6"/>
  <c r="E150" i="6"/>
  <c r="G26" i="6"/>
  <c r="C98" i="4" s="1"/>
  <c r="I81" i="6"/>
  <c r="I184" i="6"/>
  <c r="H161" i="6"/>
  <c r="N114" i="6"/>
  <c r="I55" i="6"/>
  <c r="M304" i="6"/>
  <c r="M305" i="6" s="1"/>
  <c r="H186" i="6"/>
  <c r="H187" i="6" s="1"/>
  <c r="S44" i="11"/>
  <c r="M321" i="6"/>
  <c r="M332" i="6" s="1"/>
  <c r="M270" i="6"/>
  <c r="I304" i="6"/>
  <c r="I305" i="6" s="1"/>
  <c r="V44" i="11"/>
  <c r="M163" i="6"/>
  <c r="M164" i="6" s="1"/>
  <c r="N39" i="11"/>
  <c r="F252" i="6"/>
  <c r="I252" i="6" s="1"/>
  <c r="M84" i="6"/>
  <c r="M85" i="6" s="1"/>
  <c r="C173" i="4" s="1"/>
  <c r="I100" i="6"/>
  <c r="I321" i="6"/>
  <c r="I332" i="6" s="1"/>
  <c r="C267" i="4" s="1"/>
  <c r="I76" i="6"/>
  <c r="J100" i="6"/>
  <c r="K100" i="6"/>
  <c r="C178" i="4" s="1"/>
  <c r="C195" i="4" s="1"/>
  <c r="V48" i="11"/>
  <c r="S55" i="11"/>
  <c r="T55" i="11"/>
  <c r="O55" i="11"/>
  <c r="U55" i="11"/>
  <c r="P55" i="11"/>
  <c r="P44" i="11"/>
  <c r="S112" i="6"/>
  <c r="H26" i="6"/>
  <c r="T54" i="11"/>
  <c r="S54" i="11"/>
  <c r="U49" i="11"/>
  <c r="T44" i="11"/>
  <c r="O44" i="11"/>
  <c r="R55" i="11"/>
  <c r="N55" i="11"/>
  <c r="O47" i="11"/>
  <c r="R47" i="11"/>
  <c r="Q47" i="11"/>
  <c r="S47" i="11"/>
  <c r="V47" i="11"/>
  <c r="N47" i="11"/>
  <c r="H184" i="6"/>
  <c r="N162" i="6"/>
  <c r="I82" i="6"/>
  <c r="H85" i="6"/>
  <c r="N163" i="6"/>
  <c r="N164" i="6" s="1"/>
  <c r="N239" i="6"/>
  <c r="N240" i="6" s="1"/>
  <c r="T39" i="11"/>
  <c r="O54" i="11"/>
  <c r="N133" i="6"/>
  <c r="N134" i="6" s="1"/>
  <c r="U51" i="11"/>
  <c r="T52" i="11"/>
  <c r="H199" i="6"/>
  <c r="R52" i="11"/>
  <c r="P54" i="11"/>
  <c r="I132" i="6"/>
  <c r="C252" i="4" s="1"/>
  <c r="M82" i="6"/>
  <c r="H132" i="6"/>
  <c r="C123" i="4" s="1"/>
  <c r="C129" i="4" s="1"/>
  <c r="C135" i="4" s="1"/>
  <c r="I162" i="6"/>
  <c r="M161" i="6"/>
  <c r="I270" i="6"/>
  <c r="H82" i="6"/>
  <c r="O46" i="11"/>
  <c r="M218" i="6"/>
  <c r="M219" i="6" s="1"/>
  <c r="H218" i="6"/>
  <c r="H219" i="6" s="1"/>
  <c r="N218" i="6"/>
  <c r="N219" i="6" s="1"/>
  <c r="I163" i="6"/>
  <c r="I164" i="6" s="1"/>
  <c r="H290" i="6"/>
  <c r="C136" i="4" s="1"/>
  <c r="V54" i="11"/>
  <c r="P52" i="11"/>
  <c r="F54" i="11"/>
  <c r="G54" i="11" s="1"/>
  <c r="R54" i="11" s="1"/>
  <c r="H81" i="6"/>
  <c r="C117" i="4" s="1"/>
  <c r="F408" i="6"/>
  <c r="G408" i="6" s="1"/>
  <c r="I161" i="6"/>
  <c r="Q46" i="11"/>
  <c r="U54" i="11"/>
  <c r="V52" i="11"/>
  <c r="M51" i="11"/>
  <c r="C239" i="4"/>
  <c r="Q52" i="11"/>
  <c r="I103" i="6"/>
  <c r="N38" i="11"/>
  <c r="Q48" i="11"/>
  <c r="S48" i="11"/>
  <c r="O48" i="11"/>
  <c r="U48" i="11"/>
  <c r="S40" i="11"/>
  <c r="P39" i="11"/>
  <c r="AA29" i="11"/>
  <c r="P49" i="11"/>
  <c r="S49" i="11"/>
  <c r="Q49" i="11"/>
  <c r="AA30" i="11"/>
  <c r="U43" i="11"/>
  <c r="V50" i="11"/>
  <c r="U50" i="11"/>
  <c r="Q50" i="11"/>
  <c r="P50" i="11"/>
  <c r="O50" i="11"/>
  <c r="R53" i="11"/>
  <c r="T53" i="11"/>
  <c r="O53" i="11"/>
  <c r="P53" i="11"/>
  <c r="N53" i="11"/>
  <c r="S53" i="11"/>
  <c r="V53" i="11"/>
  <c r="Q53" i="11"/>
  <c r="U53" i="11"/>
  <c r="F40" i="11"/>
  <c r="Q40" i="11" s="1"/>
  <c r="P40" i="11"/>
  <c r="G407" i="6"/>
  <c r="P46" i="11"/>
  <c r="S46" i="11"/>
  <c r="M133" i="6"/>
  <c r="M134" i="6" s="1"/>
  <c r="M239" i="6"/>
  <c r="M240" i="6" s="1"/>
  <c r="M290" i="6"/>
  <c r="N84" i="6"/>
  <c r="N85" i="6" s="1"/>
  <c r="C174" i="4" s="1"/>
  <c r="I85" i="6"/>
  <c r="V42" i="11"/>
  <c r="T42" i="11"/>
  <c r="U42" i="11"/>
  <c r="O42" i="11"/>
  <c r="G44" i="11"/>
  <c r="R44" i="11" s="1"/>
  <c r="Q44" i="11"/>
  <c r="M407" i="6"/>
  <c r="M185" i="6"/>
  <c r="P47" i="11"/>
  <c r="T47" i="11"/>
  <c r="N46" i="11"/>
  <c r="U46" i="11"/>
  <c r="T46" i="11"/>
  <c r="H163" i="6"/>
  <c r="H164" i="6" s="1"/>
  <c r="N290" i="6"/>
  <c r="T50" i="11"/>
  <c r="M55" i="11"/>
  <c r="Q55" i="11"/>
  <c r="H387" i="6"/>
  <c r="I387" i="6"/>
  <c r="I389" i="6" s="1"/>
  <c r="U45" i="11"/>
  <c r="T45" i="11"/>
  <c r="P45" i="11"/>
  <c r="N45" i="11"/>
  <c r="V45" i="11"/>
  <c r="R45" i="11"/>
  <c r="Q45" i="11"/>
  <c r="G49" i="11"/>
  <c r="M49" i="11" s="1"/>
  <c r="B319" i="6"/>
  <c r="D319" i="6" s="1"/>
  <c r="U47" i="11"/>
  <c r="R46" i="11"/>
  <c r="I133" i="6"/>
  <c r="I186" i="6"/>
  <c r="I187" i="6" s="1"/>
  <c r="I239" i="6"/>
  <c r="I240" i="6" s="1"/>
  <c r="S50" i="11"/>
  <c r="S45" i="11"/>
  <c r="M52" i="11"/>
  <c r="N52" i="11"/>
  <c r="M53" i="11"/>
  <c r="H75" i="6"/>
  <c r="H76" i="6" s="1"/>
  <c r="C116" i="4" s="1"/>
  <c r="O52" i="11"/>
  <c r="M56" i="6"/>
  <c r="M57" i="6" s="1"/>
  <c r="C162" i="4" s="1"/>
  <c r="Q51" i="11"/>
  <c r="M48" i="11"/>
  <c r="D22" i="5"/>
  <c r="D14" i="5"/>
  <c r="R39" i="11"/>
  <c r="V39" i="11"/>
  <c r="O49" i="11"/>
  <c r="O51" i="11"/>
  <c r="T49" i="11"/>
  <c r="C22" i="5"/>
  <c r="C14" i="5"/>
  <c r="G8" i="17"/>
  <c r="R50" i="11"/>
  <c r="N50" i="11"/>
  <c r="M50" i="11"/>
  <c r="N51" i="11"/>
  <c r="R51" i="11"/>
  <c r="V51" i="11"/>
  <c r="S51" i="11"/>
  <c r="AA25" i="11"/>
  <c r="AA21" i="11"/>
  <c r="AA26" i="11"/>
  <c r="AA24" i="11"/>
  <c r="AA23" i="11"/>
  <c r="N48" i="11"/>
  <c r="P48" i="11"/>
  <c r="AA22" i="11"/>
  <c r="R48" i="11"/>
  <c r="AA28" i="11"/>
  <c r="AA27" i="11"/>
  <c r="M41" i="11"/>
  <c r="G42" i="11"/>
  <c r="R42" i="11" s="1"/>
  <c r="Q42" i="11"/>
  <c r="Q43" i="11"/>
  <c r="G43" i="11"/>
  <c r="R43" i="11" s="1"/>
  <c r="N41" i="11"/>
  <c r="T41" i="11"/>
  <c r="O43" i="11"/>
  <c r="S43" i="11"/>
  <c r="P42" i="11"/>
  <c r="AA20" i="11"/>
  <c r="Q41" i="11"/>
  <c r="P43" i="11"/>
  <c r="V41" i="11"/>
  <c r="O40" i="11"/>
  <c r="V40" i="11"/>
  <c r="U40" i="11"/>
  <c r="Q39" i="11"/>
  <c r="U39" i="11"/>
  <c r="O39" i="11"/>
  <c r="S39" i="11"/>
  <c r="W39" i="11"/>
  <c r="W56" i="11" s="1"/>
  <c r="L105" i="6"/>
  <c r="E106" i="6"/>
  <c r="H106" i="6" s="1"/>
  <c r="H113" i="6" s="1"/>
  <c r="I113" i="6"/>
  <c r="I13" i="6"/>
  <c r="I26" i="6" s="1"/>
  <c r="C238" i="4" s="1"/>
  <c r="P51" i="11"/>
  <c r="O41" i="11"/>
  <c r="S41" i="11"/>
  <c r="R41" i="11"/>
  <c r="P41" i="11"/>
  <c r="O38" i="11"/>
  <c r="J107" i="6"/>
  <c r="O12" i="17"/>
  <c r="Q11" i="17"/>
  <c r="E11" i="17"/>
  <c r="O11" i="17" s="1"/>
  <c r="Q10" i="17"/>
  <c r="H7" i="17"/>
  <c r="D26" i="5"/>
  <c r="C247" i="4" l="1"/>
  <c r="C253" i="4"/>
  <c r="C190" i="4"/>
  <c r="G394" i="6"/>
  <c r="C286" i="4"/>
  <c r="C191" i="4"/>
  <c r="C169" i="4"/>
  <c r="C158" i="4"/>
  <c r="I134" i="6"/>
  <c r="C257" i="4"/>
  <c r="C167" i="4"/>
  <c r="C157" i="4"/>
  <c r="C124" i="4"/>
  <c r="C130" i="4" s="1"/>
  <c r="C118" i="4"/>
  <c r="N57" i="6"/>
  <c r="C163" i="4" s="1"/>
  <c r="H396" i="6"/>
  <c r="H398" i="6"/>
  <c r="I57" i="6"/>
  <c r="C242" i="4" s="1"/>
  <c r="E153" i="6"/>
  <c r="H153" i="6" s="1"/>
  <c r="H160" i="6" s="1"/>
  <c r="C127" i="4" s="1"/>
  <c r="I153" i="6"/>
  <c r="I160" i="6" s="1"/>
  <c r="J154" i="6"/>
  <c r="N153" i="6" s="1"/>
  <c r="N160" i="6" s="1"/>
  <c r="Q412" i="6"/>
  <c r="G395" i="6"/>
  <c r="F11" i="17"/>
  <c r="R11" i="17" s="1"/>
  <c r="C246" i="4"/>
  <c r="C245" i="4"/>
  <c r="N49" i="11"/>
  <c r="C250" i="4"/>
  <c r="C188" i="4"/>
  <c r="C205" i="4" s="1"/>
  <c r="C222" i="4" s="1"/>
  <c r="C230" i="4"/>
  <c r="C212" i="4"/>
  <c r="C121" i="4"/>
  <c r="C133" i="4" s="1"/>
  <c r="C109" i="4"/>
  <c r="I259" i="6"/>
  <c r="I269" i="6" s="1"/>
  <c r="I208" i="6"/>
  <c r="I215" i="6" s="1"/>
  <c r="N106" i="6"/>
  <c r="N113" i="6" s="1"/>
  <c r="C181" i="4" s="1"/>
  <c r="C198" i="4" s="1"/>
  <c r="H389" i="6"/>
  <c r="M54" i="11"/>
  <c r="Q54" i="11"/>
  <c r="Q56" i="11" s="1"/>
  <c r="I9" i="17" s="1"/>
  <c r="N54" i="11"/>
  <c r="M42" i="11"/>
  <c r="M43" i="11"/>
  <c r="G40" i="11"/>
  <c r="M40" i="11" s="1"/>
  <c r="N44" i="11"/>
  <c r="C16" i="5"/>
  <c r="R49" i="11"/>
  <c r="N43" i="11"/>
  <c r="N42" i="11"/>
  <c r="T56" i="11"/>
  <c r="S56" i="11"/>
  <c r="I11" i="17" s="1"/>
  <c r="V56" i="11"/>
  <c r="M44" i="11"/>
  <c r="D24" i="5"/>
  <c r="P56" i="11"/>
  <c r="I8" i="17" s="1"/>
  <c r="F7" i="17"/>
  <c r="F16" i="17" s="1"/>
  <c r="E14" i="5"/>
  <c r="C18" i="17" s="1"/>
  <c r="D36" i="5"/>
  <c r="E22" i="5"/>
  <c r="G18" i="17" s="1"/>
  <c r="G7" i="17"/>
  <c r="G16" i="17" s="1"/>
  <c r="D28" i="5"/>
  <c r="C28" i="5"/>
  <c r="O56" i="11"/>
  <c r="U56" i="11"/>
  <c r="C104" i="4"/>
  <c r="D32" i="5"/>
  <c r="D16" i="5"/>
  <c r="E24" i="5"/>
  <c r="C24" i="5"/>
  <c r="C36" i="5"/>
  <c r="J7" i="17" l="1"/>
  <c r="C296" i="4"/>
  <c r="C207" i="4"/>
  <c r="C208" i="4"/>
  <c r="H401" i="6"/>
  <c r="C306" i="4"/>
  <c r="C492" i="4"/>
  <c r="C305" i="4"/>
  <c r="C215" i="4"/>
  <c r="C18" i="18"/>
  <c r="C262" i="4"/>
  <c r="C2" i="18"/>
  <c r="J260" i="6"/>
  <c r="N259" i="6" s="1"/>
  <c r="E259" i="6"/>
  <c r="H259" i="6" s="1"/>
  <c r="H269" i="6" s="1"/>
  <c r="J209" i="6"/>
  <c r="N208" i="6" s="1"/>
  <c r="N215" i="6" s="1"/>
  <c r="E208" i="6"/>
  <c r="H208" i="6" s="1"/>
  <c r="H215" i="6" s="1"/>
  <c r="C32" i="5"/>
  <c r="R40" i="11"/>
  <c r="R56" i="11" s="1"/>
  <c r="I10" i="17" s="1"/>
  <c r="N40" i="11"/>
  <c r="N56" i="11" s="1"/>
  <c r="I7" i="17"/>
  <c r="E28" i="5"/>
  <c r="I18" i="17" s="1"/>
  <c r="R7" i="17"/>
  <c r="C4" i="17"/>
  <c r="O4" i="17" s="1"/>
  <c r="Q4" i="17"/>
  <c r="M11" i="17"/>
  <c r="Q12" i="17" s="1"/>
  <c r="G19" i="17"/>
  <c r="C3" i="18"/>
  <c r="E16" i="5"/>
  <c r="E32" i="5"/>
  <c r="K18" i="17" s="1"/>
  <c r="K16" i="17"/>
  <c r="C26" i="5"/>
  <c r="H8" i="17"/>
  <c r="H16" i="17" s="1"/>
  <c r="E26" i="5"/>
  <c r="H18" i="17" s="1"/>
  <c r="C6" i="18" l="1"/>
  <c r="C494" i="4"/>
  <c r="J8" i="17"/>
  <c r="J16" i="17" s="1"/>
  <c r="C225" i="4"/>
  <c r="H404" i="6"/>
  <c r="C307" i="4"/>
  <c r="C224" i="4"/>
  <c r="C493" i="4"/>
  <c r="C630" i="4"/>
  <c r="C623" i="4"/>
  <c r="C1" i="18"/>
  <c r="F3" i="18" s="1"/>
  <c r="H3" i="18" s="1"/>
  <c r="L11" i="17"/>
  <c r="C16" i="17"/>
  <c r="C19" i="17" s="1"/>
  <c r="I16" i="17"/>
  <c r="I19" i="17" s="1"/>
  <c r="F10" i="17"/>
  <c r="R10" i="17" s="1"/>
  <c r="E36" i="5"/>
  <c r="N18" i="17" s="1"/>
  <c r="M7" i="17"/>
  <c r="M8" i="17" s="1"/>
  <c r="M9" i="17" s="1"/>
  <c r="M10" i="17" s="1"/>
  <c r="M16" i="17"/>
  <c r="R4" i="17"/>
  <c r="D5" i="17"/>
  <c r="O5" i="17" s="1"/>
  <c r="Q5" i="17"/>
  <c r="K19" i="17"/>
  <c r="K7" i="17"/>
  <c r="K8" i="17" s="1"/>
  <c r="H19" i="17"/>
  <c r="D18" i="17"/>
  <c r="C7" i="18" l="1"/>
  <c r="D30" i="5"/>
  <c r="D20" i="5"/>
  <c r="C20" i="5"/>
  <c r="C30" i="5"/>
  <c r="C5" i="18"/>
  <c r="F8" i="17"/>
  <c r="R8" i="17" s="1"/>
  <c r="C11" i="18"/>
  <c r="C13" i="18"/>
  <c r="C9" i="18"/>
  <c r="D16" i="17"/>
  <c r="D19" i="17" s="1"/>
  <c r="L8" i="17"/>
  <c r="K9" i="17"/>
  <c r="K10" i="17" s="1"/>
  <c r="K11" i="17" s="1"/>
  <c r="E6" i="17"/>
  <c r="Q6" i="17"/>
  <c r="R5" i="17"/>
  <c r="R16" i="17" s="1"/>
  <c r="F7" i="18" l="1"/>
  <c r="H7" i="18" s="1"/>
  <c r="E7" i="17" s="1"/>
  <c r="O7" i="17" s="1"/>
  <c r="C34" i="5"/>
  <c r="D18" i="5"/>
  <c r="E30" i="5"/>
  <c r="J18" i="17" s="1"/>
  <c r="J19" i="17" s="1"/>
  <c r="E20" i="5"/>
  <c r="F18" i="17" s="1"/>
  <c r="F19" i="17" s="1"/>
  <c r="D34" i="5"/>
  <c r="L10" i="17"/>
  <c r="C18" i="5"/>
  <c r="C14" i="18"/>
  <c r="L7" i="17"/>
  <c r="L16" i="17" s="1"/>
  <c r="F11" i="18"/>
  <c r="H11" i="18" s="1"/>
  <c r="Q8" i="17" s="1"/>
  <c r="O6" i="17"/>
  <c r="C40" i="5" l="1"/>
  <c r="C41" i="5" s="1"/>
  <c r="C42" i="5" s="1"/>
  <c r="Q7" i="17"/>
  <c r="O16" i="17"/>
  <c r="O21" i="17" s="1"/>
  <c r="D40" i="5"/>
  <c r="D41" i="5" s="1"/>
  <c r="D42" i="5" s="1"/>
  <c r="E34" i="5"/>
  <c r="L18" i="17" s="1"/>
  <c r="L19" i="17" s="1"/>
  <c r="F9" i="17"/>
  <c r="R9" i="17" s="1"/>
  <c r="F15" i="18"/>
  <c r="H15" i="18" s="1"/>
  <c r="E9" i="17" s="1"/>
  <c r="C34" i="18"/>
  <c r="E18" i="5"/>
  <c r="E18" i="17" s="1"/>
  <c r="E8" i="17"/>
  <c r="O8" i="17" s="1"/>
  <c r="Q9" i="17" l="1"/>
  <c r="Q16" i="17" s="1"/>
  <c r="E40" i="5"/>
  <c r="E41" i="5" s="1"/>
  <c r="E42" i="5" s="1"/>
  <c r="C36" i="18"/>
  <c r="C37" i="18" s="1"/>
  <c r="O9" i="17"/>
  <c r="E16" i="17"/>
  <c r="E19" i="17" s="1"/>
</calcChain>
</file>

<file path=xl/sharedStrings.xml><?xml version="1.0" encoding="utf-8"?>
<sst xmlns="http://schemas.openxmlformats.org/spreadsheetml/2006/main" count="1099" uniqueCount="548">
  <si>
    <t>Description</t>
  </si>
  <si>
    <t>Qty</t>
  </si>
  <si>
    <t>Unit</t>
  </si>
  <si>
    <t>CONCRETE WORK</t>
  </si>
  <si>
    <t>MASONRY AND PLASTERING</t>
  </si>
  <si>
    <t>DOORS AND WINDOWS</t>
  </si>
  <si>
    <t>FINISHES</t>
  </si>
  <si>
    <t>PAINTING</t>
  </si>
  <si>
    <t>ELECTRICAL INSTALLATIONS</t>
  </si>
  <si>
    <t xml:space="preserve"> </t>
  </si>
  <si>
    <t xml:space="preserve"> GRAND TOTAL </t>
  </si>
  <si>
    <t>Item</t>
  </si>
  <si>
    <t>BILL No: 01</t>
  </si>
  <si>
    <t>SITE CLEARING</t>
  </si>
  <si>
    <t>EXCAVATION</t>
  </si>
  <si>
    <t>m³</t>
  </si>
  <si>
    <t>Nos</t>
  </si>
  <si>
    <t>WATER PROOFING</t>
  </si>
  <si>
    <t>Note: Rates shall include for: dressing around and sealing to avoid all penetrations</t>
  </si>
  <si>
    <t>BACK FILLING</t>
  </si>
  <si>
    <t>Rates shall include for levelling, grading, trimming and compacting.</t>
  </si>
  <si>
    <t>CLEANING UPON COMPLETION</t>
  </si>
  <si>
    <t>Cleaning the site upon completion of all works</t>
  </si>
  <si>
    <t>TOTAL OF BILL No: 01 - Carried over to summary</t>
  </si>
  <si>
    <t>BILL No: 02</t>
  </si>
  <si>
    <t>GENERAL</t>
  </si>
  <si>
    <t xml:space="preserve">(a) Rates shall include for: provision to place in position; casting of all required items and finishing after removal of formwork and  additional concrete required to conform to structural and excavated tolerances </t>
  </si>
  <si>
    <t>(b) Rates shall include supply of all formwork item including form oil, timber, plywood, nails etc.</t>
  </si>
  <si>
    <t>(c) Mix ratio for  reinforced concrete shall be 1:2:3 and lean concrete shall be 1:3:6 by volume</t>
  </si>
  <si>
    <t>LEAN CONCRETE</t>
  </si>
  <si>
    <t>REINFORCED CONCRETE</t>
  </si>
  <si>
    <t>In-situ reinforced concrete to:</t>
  </si>
  <si>
    <t>Foundation level</t>
  </si>
  <si>
    <t>m</t>
  </si>
  <si>
    <t>REINFORCEMENT</t>
  </si>
  <si>
    <t>(a) Rates shall include for: cleaning, fabrication, placing, the provision for all necessary temporary fixings and supports including tie wire and chair supports, laps and wastage</t>
  </si>
  <si>
    <t>(c) The exact length exclusive of laps are given. The rates shall take into account laps and any wastage.</t>
  </si>
  <si>
    <t>TOTAL OF BILL No: 02 - Carried over to summary</t>
  </si>
  <si>
    <t>BILL No: 03</t>
  </si>
  <si>
    <t>m²</t>
  </si>
  <si>
    <t>Ground floor</t>
  </si>
  <si>
    <t>PLASTERING</t>
  </si>
  <si>
    <t>FLOORING</t>
  </si>
  <si>
    <t>TOTAL OF BILL No: 03 - Carried over to summary</t>
  </si>
  <si>
    <t>BILL No: 04</t>
  </si>
  <si>
    <t>(b) Rates shall include for all painting and finishing.</t>
  </si>
  <si>
    <t>(c) Rates shall include for fabrication and erection of temporary supports and fixing into position</t>
  </si>
  <si>
    <t>TOTAL OF BILL No: 04 - Carried over to summary</t>
  </si>
  <si>
    <t>BILL No: 05</t>
  </si>
  <si>
    <t>TOTAL OF BILL No: 05 - Carried over to summary</t>
  </si>
  <si>
    <t>(b) Rates shall include for door frames, mullions, transoms, trims, glazing, tinting, timber panels, boarding, framing, lining, fastenings and all fixings</t>
  </si>
  <si>
    <t>D3</t>
  </si>
  <si>
    <t>D4</t>
  </si>
  <si>
    <t>W1</t>
  </si>
  <si>
    <t>TOTAL OF BILL No: 06 - Carried over to summary</t>
  </si>
  <si>
    <t>Note: Rates shall include for: fixing, bedding, grouting, pointing, finishing and any other similar works to ensure the required finish.</t>
  </si>
  <si>
    <t>HYDRAULICS &amp; DRAINAGE</t>
  </si>
  <si>
    <t>HYDRAULICS</t>
  </si>
  <si>
    <t>Preamble notes</t>
  </si>
  <si>
    <t>(b) All pipe work and fittings shall be high pressure PVC</t>
  </si>
  <si>
    <t>(c) Rate shall include for supply and fixing of all pipes</t>
  </si>
  <si>
    <t>Internal Plumbing</t>
  </si>
  <si>
    <t>Internal plumbing to all toilets &amp; kitchens  incl. Supply and laying of pipes.</t>
  </si>
  <si>
    <t xml:space="preserve">External plumbing </t>
  </si>
  <si>
    <t>Sanitary Fixtures &amp; Accessories</t>
  </si>
  <si>
    <t>Supply and installation of appropriate capacity Water pump complete including pump stand, connecting to pipe work and electricity as specified</t>
  </si>
  <si>
    <t>DRAINAGE</t>
  </si>
  <si>
    <t>(a) Rates shall include for excavation, maintaining faces of drain pipe trenches and pits, backfilling, disposal of surplus soil, bends, junctions, reducers, expansion joints and all joints and other incidental materials.</t>
  </si>
  <si>
    <t>(b) All pipework shall be PVC</t>
  </si>
  <si>
    <t>TOTAL OF BILL No: 08 - Carried over to summary</t>
  </si>
  <si>
    <t>(b) All painting work shall be carried in accordance with the Specifications</t>
  </si>
  <si>
    <t>CEILING / SOFFIT OF SLAB</t>
  </si>
  <si>
    <t>TOTAL OF BILL No: 09 - Carried over to summary</t>
  </si>
  <si>
    <t>BILL No: 10</t>
  </si>
  <si>
    <t>BILL No: 11</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</si>
  <si>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</si>
  <si>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</si>
  <si>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for electrical conduits, fittings, equipment and similar items shall include for: all fixings to various building surfaces</t>
  </si>
  <si>
    <t>(d) Light end and switch end of wiring together measured as one point</t>
  </si>
  <si>
    <t>(e) A point wiring for power points is measured as one point for each socket outlet; other end of wire is not included in the quantity.</t>
  </si>
  <si>
    <t xml:space="preserve">(f) Rates shall include for supply and complete installation </t>
  </si>
  <si>
    <t>(g) Three phase power supply.</t>
  </si>
  <si>
    <t>ELECTRICAL BOARDS</t>
  </si>
  <si>
    <t>Complete installation, including for all connections, earthing, painting, testing and similar of:</t>
  </si>
  <si>
    <t>ELECTRICAL WIRING</t>
  </si>
  <si>
    <t>Wiring to lights</t>
  </si>
  <si>
    <t>points</t>
  </si>
  <si>
    <t>Wiring to power points</t>
  </si>
  <si>
    <t>Wiring to Distribution boards</t>
  </si>
  <si>
    <t>LIGHTING, POWER POINTS &amp; FANS</t>
  </si>
  <si>
    <t>TOTAL OF BILL No: 11 - Carried over to summary</t>
  </si>
  <si>
    <t>Nos.</t>
  </si>
  <si>
    <t>CEILING WORKS</t>
  </si>
  <si>
    <t>FORM WORK</t>
  </si>
  <si>
    <t>(c) Rates shall include for painting timber doors</t>
  </si>
  <si>
    <t>Electrical wiring with copper conductor cable in conduits in walls and concrete  as per government regulations.</t>
  </si>
  <si>
    <t xml:space="preserve">Pumps </t>
  </si>
  <si>
    <t>(a) Rates shall include for: all necessary boarding, supports, erecting, framing, temporary cambering, cutting, perforations for reinforcing bars, straps, ties, hangers, pipes, edge formwork and removal of formwork.</t>
  </si>
  <si>
    <t>(a) Rates shall include for: all fabrication work, welding, marking, drilling for bolts including those securing timbers, steel plates, bolts, nuts and any type of washer, riveted work, counter sinking and tapping for bolts or machine screws.</t>
  </si>
  <si>
    <t>(a) Rates shall include for all fixing, cutting, trimmings, nails, screws and other fixings according to manufacturers' instructions.</t>
  </si>
  <si>
    <t>PRELIMINARIES</t>
  </si>
  <si>
    <t>GENERAL NOTES</t>
  </si>
  <si>
    <t xml:space="preserve">Abbreviations </t>
  </si>
  <si>
    <t>m - metre</t>
  </si>
  <si>
    <t>Nos - numbers</t>
  </si>
  <si>
    <t>m³ - cubic metre</t>
  </si>
  <si>
    <t>m² - square metre</t>
  </si>
  <si>
    <t>kg - kilogram</t>
  </si>
  <si>
    <t>incl - including</t>
  </si>
  <si>
    <t>mm - millimetre</t>
  </si>
  <si>
    <t>dia - diametre</t>
  </si>
  <si>
    <t>GI - Galvinised Iron</t>
  </si>
  <si>
    <t>SS - Staiinless Steel</t>
  </si>
  <si>
    <t>SITE MANAGEMENT COSTS</t>
  </si>
  <si>
    <t>SIGN BOARD</t>
  </si>
  <si>
    <t>Allow for sign board.</t>
  </si>
  <si>
    <t>CONCRETE TESTING</t>
  </si>
  <si>
    <t>Allow for concrete testing</t>
  </si>
  <si>
    <t>CLEAN - UP</t>
  </si>
  <si>
    <t>Allow for clean up of completed works and site upon completion</t>
  </si>
  <si>
    <t>BILL No: 01 - PRELIMINARIES</t>
  </si>
  <si>
    <t>BILL No: 02 - GROUND WORKS</t>
  </si>
  <si>
    <t>3.4.1</t>
  </si>
  <si>
    <t>3.4.2</t>
  </si>
  <si>
    <t>3.4.3</t>
  </si>
  <si>
    <t>3.5.1</t>
  </si>
  <si>
    <t>3.5.2</t>
  </si>
  <si>
    <t>3.5.3</t>
  </si>
  <si>
    <t>3.5.4</t>
  </si>
  <si>
    <t>BILL No: 03 - CONCRETE</t>
  </si>
  <si>
    <t>BILL No: 04 - MASONRY AND PLASTERING</t>
  </si>
  <si>
    <t>BILL No: 06</t>
  </si>
  <si>
    <t>BILL N0: 08</t>
  </si>
  <si>
    <t>9.1.4</t>
  </si>
  <si>
    <t>9.1.5</t>
  </si>
  <si>
    <t>9.2.1</t>
  </si>
  <si>
    <t>9.2.2</t>
  </si>
  <si>
    <t>GROUND WORKS</t>
  </si>
  <si>
    <t>Sanitary fixtures complete including brackets, stop valves, fittings etc. All sanitary fittings shall be of superior quality. Taps, Hand shower, Head shower and towel bar should be plastic.</t>
  </si>
  <si>
    <t>Allow for all on and off site management costs including costs of foreman and assistants, temporary services, telephone, fax, hoardings, fences and similar items.</t>
  </si>
  <si>
    <t>Demolition of any existing buildings and removal of those material from the site. Removing and clearing any shrubs or trees from the site.</t>
  </si>
  <si>
    <t xml:space="preserve"> (a) Rates shall include for locks, latches, closures, push plates, pull handles, bolts, kick plates, hinges and all door &amp; window hardware. These materials should brass and of superior quality.</t>
  </si>
  <si>
    <t>Apply 2 coats of water proofing paint on all concrete surfaces below finished floor level in accordance with BS 8102 standards</t>
  </si>
  <si>
    <t xml:space="preserve">Note: Quantity is measured to the edges of concrete members. </t>
  </si>
  <si>
    <t>(b) All reinforcing bars except 6mm dia bars shall be high strength deformed bars.</t>
  </si>
  <si>
    <t>Fan dimmer</t>
  </si>
  <si>
    <t>DAMP PROOF MEMBRANE</t>
  </si>
  <si>
    <t>Damp prof membrane to bottom of concrete elements as per specification</t>
  </si>
  <si>
    <t>3.6.1</t>
  </si>
  <si>
    <t>3.6.2</t>
  </si>
  <si>
    <t>3.6.3</t>
  </si>
  <si>
    <t>WALL FINISHES</t>
  </si>
  <si>
    <t>item</t>
  </si>
  <si>
    <t>Rates shall include for; levelin, grading, trimming, compacting to faces of excavation, keep sides plumb, backfilling, consolidating and dispoding surplus soil</t>
  </si>
  <si>
    <t xml:space="preserve"> Excavation quantities are measured to the faces of concrete members. Rates shall include for all additional excavation required to place the formwork/shuttering and dewatering the trenches and others</t>
  </si>
  <si>
    <t>Sand filling upto 200mm including compaction as per specification, to receive ground slab</t>
  </si>
  <si>
    <t>t</t>
  </si>
  <si>
    <t>3.6.4</t>
  </si>
  <si>
    <t>4.2.1</t>
  </si>
  <si>
    <t>Plastering on walls and concrete surfaces in accordance with the specifications</t>
  </si>
  <si>
    <t>4.3.1</t>
  </si>
  <si>
    <t>(b) Rates shall include for timber priming and all putty work as specified in the drawing</t>
  </si>
  <si>
    <t>(c) Rates shall include for all labour in framing, notching and fitting around projections, pipes, light fittings, hatches, grilles and similar complete with cleats, packers, wedges and timber beeding etc. similar and all nails and screws</t>
  </si>
  <si>
    <t>FLOOR FINISHES</t>
  </si>
  <si>
    <t>35mm Thick cement sand screed on concrete floor with 1:4 mortar mix with a smooth finish for general areas</t>
  </si>
  <si>
    <t>4.4.1</t>
  </si>
  <si>
    <t>nos</t>
  </si>
  <si>
    <t>Emulsion paint finish on cement plastered walls and concrete column surfaces. Exterior walls should be applied with weather proof paint.</t>
  </si>
  <si>
    <t>WALLS AND CONCRETE SURFACES</t>
  </si>
  <si>
    <t>Emulsion paint finish after grinding and application of putty.</t>
  </si>
  <si>
    <t>1 coat of wall sealer, 1 coat of textured and two coats of paint</t>
  </si>
  <si>
    <t>Supply and installation of inspection chamber as shown in the drawings according to specifications</t>
  </si>
  <si>
    <t>Water closet, complete with flush tank</t>
  </si>
  <si>
    <t>Faucet</t>
  </si>
  <si>
    <t>Muslim shower</t>
  </si>
  <si>
    <t>Floor drain with gully trap</t>
  </si>
  <si>
    <t>Waste water and sewage connection to mains, from all the toilets &amp; sinks inc. supply and laying of pipes including inspection chambers as necessary</t>
  </si>
  <si>
    <t>Polythene sheet 500 gauge to foundations</t>
  </si>
  <si>
    <t>Ground water connection to all toilets and  sinks. Rate shall include for supply and laying of pipes.</t>
  </si>
  <si>
    <t>150mm dia. UPVC pipe for rain water collection as shown in drawings, complete with fittings</t>
  </si>
  <si>
    <t>GENERAL NOTE</t>
  </si>
  <si>
    <t xml:space="preserve"> (a) Rates shall include for: the provision, erection and removal of scaffolding, preparation, rubbing down between coats and similar work, the protection and/or masking floors, fittings and similar work, removing and replacing door window furniture</t>
  </si>
  <si>
    <t>Excavation</t>
  </si>
  <si>
    <t>Lean</t>
  </si>
  <si>
    <t>Concrete</t>
  </si>
  <si>
    <t>Formwork</t>
  </si>
  <si>
    <t>RAFT</t>
  </si>
  <si>
    <t xml:space="preserve"> C1</t>
  </si>
  <si>
    <t>C2</t>
  </si>
  <si>
    <t>C3</t>
  </si>
  <si>
    <t>B1</t>
  </si>
  <si>
    <t>B2</t>
  </si>
  <si>
    <t>B4</t>
  </si>
  <si>
    <t>Slab</t>
  </si>
  <si>
    <t>OPEN</t>
  </si>
  <si>
    <t>OPEN AREA</t>
  </si>
  <si>
    <t>FIRST FLOOR</t>
  </si>
  <si>
    <t>masonry</t>
  </si>
  <si>
    <t>msonry</t>
  </si>
  <si>
    <t>plaster</t>
  </si>
  <si>
    <t>screed</t>
  </si>
  <si>
    <t xml:space="preserve"> toilet floor</t>
  </si>
  <si>
    <t xml:space="preserve"> toilet wall</t>
  </si>
  <si>
    <t>floor</t>
  </si>
  <si>
    <t>Ground</t>
  </si>
  <si>
    <t>Terrace floor</t>
  </si>
  <si>
    <t>1st floor</t>
  </si>
  <si>
    <t>2nd floor</t>
  </si>
  <si>
    <t>D2</t>
  </si>
  <si>
    <t xml:space="preserve">Ground Floor </t>
  </si>
  <si>
    <t xml:space="preserve">First Floor </t>
  </si>
  <si>
    <t>3.4.4</t>
  </si>
  <si>
    <t>6 mm dia. Bars</t>
  </si>
  <si>
    <t xml:space="preserve">1st Floor </t>
  </si>
  <si>
    <t>2nd</t>
  </si>
  <si>
    <t>D1</t>
  </si>
  <si>
    <t>m2</t>
  </si>
  <si>
    <t>3rd floor</t>
  </si>
  <si>
    <t>4th floor</t>
  </si>
  <si>
    <t>Exterior &amp; Interior surfaces of walls</t>
  </si>
  <si>
    <t>Head Shower</t>
  </si>
  <si>
    <t xml:space="preserve">Ground floor </t>
  </si>
  <si>
    <t>Distribution board</t>
  </si>
  <si>
    <t>GROUND FLOOR</t>
  </si>
  <si>
    <t>CB1</t>
  </si>
  <si>
    <t>2nd FLOOR</t>
  </si>
  <si>
    <t>For steel</t>
  </si>
  <si>
    <t>Parapet wall</t>
  </si>
  <si>
    <t>FINISHING WORK</t>
  </si>
  <si>
    <t>steel</t>
  </si>
  <si>
    <t>f.work</t>
  </si>
  <si>
    <t xml:space="preserve">DOORS </t>
  </si>
  <si>
    <t>G.FLOORS</t>
  </si>
  <si>
    <t>1ST FLOOR</t>
  </si>
  <si>
    <t>3rd FLOOR</t>
  </si>
  <si>
    <t>4th FLOOR</t>
  </si>
  <si>
    <t>5th FLOOR</t>
  </si>
  <si>
    <t>6th FLOOR</t>
  </si>
  <si>
    <t>7th FLOOR</t>
  </si>
  <si>
    <t>8th FLOOR</t>
  </si>
  <si>
    <t>9th FLOOR</t>
  </si>
  <si>
    <t>10th FLOOR</t>
  </si>
  <si>
    <t>WINDOWS</t>
  </si>
  <si>
    <t>Total Door Opening</t>
  </si>
  <si>
    <t>6mm dia bars</t>
  </si>
  <si>
    <t>FOUNDATION  LEVEL</t>
  </si>
  <si>
    <t xml:space="preserve">RCC WALL FOR BASE MENT </t>
  </si>
  <si>
    <t>Stair Starter Beam</t>
  </si>
  <si>
    <t xml:space="preserve">STAIR CASE </t>
  </si>
  <si>
    <t>SECOND SLAB</t>
  </si>
  <si>
    <t>2ND-9TH  SLAB</t>
  </si>
  <si>
    <t>Parapet wall Terrace</t>
  </si>
  <si>
    <t>Above Terrace</t>
  </si>
  <si>
    <t>12mm dia bars</t>
  </si>
  <si>
    <t>SD1</t>
  </si>
  <si>
    <t>1st</t>
  </si>
  <si>
    <t>3rd</t>
  </si>
  <si>
    <t>4th</t>
  </si>
  <si>
    <t>5th</t>
  </si>
  <si>
    <t>6th</t>
  </si>
  <si>
    <t>7th</t>
  </si>
  <si>
    <t xml:space="preserve">The ceiling frame shall be constructed using 50 X 50 mm timber, and all the frames supported to the walls shall be installed using brass screws and wall plugs. </t>
  </si>
  <si>
    <t>The bottom framing of the ceiling shall also be completed under the direction of the consultant</t>
  </si>
  <si>
    <t>HYDRAULICS AND DRAINAGE</t>
  </si>
  <si>
    <t>PAINTING WORKS</t>
  </si>
  <si>
    <t>Wall socket outlet, single gang 13A</t>
  </si>
  <si>
    <t>Wall socket outlet, double gang 13A</t>
  </si>
  <si>
    <t>Water Proof socket outlet, single gang 13A</t>
  </si>
  <si>
    <t>SUMMARY OF BILLS OF QUANTITIES</t>
  </si>
  <si>
    <t>(a) 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</si>
  <si>
    <t>Metal Works</t>
  </si>
  <si>
    <t>Plumbing</t>
  </si>
  <si>
    <t>Doors</t>
  </si>
  <si>
    <t>Finishes</t>
  </si>
  <si>
    <t>Panitng</t>
  </si>
  <si>
    <t>TOTAL</t>
  </si>
  <si>
    <t>FLOOR</t>
  </si>
  <si>
    <t>Preliminaries</t>
  </si>
  <si>
    <t>Ground Works</t>
  </si>
  <si>
    <t>Basemenet</t>
  </si>
  <si>
    <t>Ground Floor</t>
  </si>
  <si>
    <t>Masonry &amp; Plastering</t>
  </si>
  <si>
    <t>Concrete Works</t>
  </si>
  <si>
    <t>Ceiling Works</t>
  </si>
  <si>
    <t>C4</t>
  </si>
  <si>
    <t>Lift well</t>
  </si>
  <si>
    <t>D5</t>
  </si>
  <si>
    <t>W2</t>
  </si>
  <si>
    <t>W4</t>
  </si>
  <si>
    <t>W5</t>
  </si>
  <si>
    <t>1st Floor toilets</t>
  </si>
  <si>
    <t>One way switch(1 gang)</t>
  </si>
  <si>
    <t>One way switch(2 gang)</t>
  </si>
  <si>
    <t>Two way switch</t>
  </si>
  <si>
    <t>40w weather proof Wall  Mount Light</t>
  </si>
  <si>
    <t>Ceiling fan (56") with SS fixing hook</t>
  </si>
  <si>
    <t>Wall socket outlet, single gang 15A</t>
  </si>
  <si>
    <t>6th -9TH  floor slab</t>
  </si>
  <si>
    <t>D11</t>
  </si>
  <si>
    <t>D12</t>
  </si>
  <si>
    <t>BILL NO</t>
  </si>
  <si>
    <t>DESCRIPTION</t>
  </si>
  <si>
    <t>GST 6%</t>
  </si>
  <si>
    <t>W6</t>
  </si>
  <si>
    <t>C5</t>
  </si>
  <si>
    <t>C6</t>
  </si>
  <si>
    <t>B3</t>
  </si>
  <si>
    <t>RCC WALL</t>
  </si>
  <si>
    <t>Roof ing</t>
  </si>
  <si>
    <t>c purlin</t>
  </si>
  <si>
    <t>facia bord</t>
  </si>
  <si>
    <t xml:space="preserve">PROJECT VALUE  TOTAL </t>
  </si>
  <si>
    <t>Above 5th floor slab</t>
  </si>
  <si>
    <t>Foundation</t>
  </si>
  <si>
    <t>Steel</t>
  </si>
  <si>
    <t>Form work</t>
  </si>
  <si>
    <t>1st Floor</t>
  </si>
  <si>
    <t>2nd Floor</t>
  </si>
  <si>
    <t>3rd Floor</t>
  </si>
  <si>
    <t>4th Floor</t>
  </si>
  <si>
    <t>Electrical with Lift</t>
  </si>
  <si>
    <t>Roofing</t>
  </si>
  <si>
    <t xml:space="preserve">Terrace </t>
  </si>
  <si>
    <t>Wash basin with drain fixed to  counter top</t>
  </si>
  <si>
    <t>V1</t>
  </si>
  <si>
    <t>SW</t>
  </si>
  <si>
    <t>2nd -4th</t>
  </si>
  <si>
    <t>Above</t>
  </si>
  <si>
    <t>SS Pipe Handrails for Staircase  as shown in drawing</t>
  </si>
  <si>
    <t>G</t>
  </si>
  <si>
    <t>Sink with  tap</t>
  </si>
  <si>
    <t>MWSC Water Meter</t>
  </si>
  <si>
    <t>W3</t>
  </si>
  <si>
    <t>SW1</t>
  </si>
  <si>
    <t>SD2</t>
  </si>
  <si>
    <t>SD3</t>
  </si>
  <si>
    <t>V2</t>
  </si>
  <si>
    <t>50mm thick lean concrete to bottom of foundation pads and beams</t>
  </si>
  <si>
    <t>GB</t>
  </si>
  <si>
    <t>MATERIAL AMOUNT</t>
  </si>
  <si>
    <t>LABOUR  AMOUNT</t>
  </si>
  <si>
    <t>TOTAL AMOUNT</t>
  </si>
  <si>
    <t>Roof Beam</t>
  </si>
  <si>
    <t xml:space="preserve"> Ceilings</t>
  </si>
  <si>
    <t>4.5mm Cement fibre board ceiling with timber cornice, including timber framing, trimming, nails, screws and other fixings.</t>
  </si>
  <si>
    <t>Gypsum Board</t>
  </si>
  <si>
    <t>General</t>
  </si>
  <si>
    <t>(a) Rates shall include for: all labour in framing, notching andfitting around projections, pipes, light fittings, hatches, grilles and similar and complete with cleats, packers, wedges and similar and all nails and screws.</t>
  </si>
  <si>
    <t>(a) Rates shall include for: fair edges,dressing over angel fillets, turning into grooves, all other labours,circular edges, nails, screws and other fixings and  laps.</t>
  </si>
  <si>
    <t>6.3.1</t>
  </si>
  <si>
    <t>BILL No: 07</t>
  </si>
  <si>
    <t>BILL N0: 07 - CEILINGWORKS</t>
  </si>
  <si>
    <t>BILL N0: 08 -DOORS AND WINDOWS</t>
  </si>
  <si>
    <t>BILL N0: 09</t>
  </si>
  <si>
    <t>9.3.1</t>
  </si>
  <si>
    <t>BILL No: 09 - FINISHES</t>
  </si>
  <si>
    <t>TOTAL OF BILL No: 09- Carried over to summary</t>
  </si>
  <si>
    <t>10.1.1</t>
  </si>
  <si>
    <t>10.1.2</t>
  </si>
  <si>
    <t>10.1.3</t>
  </si>
  <si>
    <t>Wash basin Tap</t>
  </si>
  <si>
    <t xml:space="preserve">Mirror </t>
  </si>
  <si>
    <t>Water Taps</t>
  </si>
  <si>
    <t>Valves</t>
  </si>
  <si>
    <t>Ground floor  Exterior</t>
  </si>
  <si>
    <t>1st floor  Exterior</t>
  </si>
  <si>
    <t>Ground floor  Interior</t>
  </si>
  <si>
    <t>1st floor  Interior</t>
  </si>
  <si>
    <t>Emulsion putty paint finish .</t>
  </si>
  <si>
    <t>40w weather proof  Ceiling Mount Light</t>
  </si>
  <si>
    <t>F1</t>
  </si>
  <si>
    <t>F2</t>
  </si>
  <si>
    <t>Excavation for foundation Footings</t>
  </si>
  <si>
    <t>12 mm dia. Bars</t>
  </si>
  <si>
    <t>600mm x 600mm Homogenous tiles on floor</t>
  </si>
  <si>
    <t>300mm x 300mm Non-skid ceramic tiles on  Toilet floor</t>
  </si>
  <si>
    <t>300 x 600 ceramic tile finish on toilet walls</t>
  </si>
  <si>
    <t>INTERIOR WALL</t>
  </si>
  <si>
    <t>EXTERIOR WALL</t>
  </si>
  <si>
    <t>40w Ceiling mount  Light</t>
  </si>
  <si>
    <t>40w  outor pendent  Light</t>
  </si>
  <si>
    <t>TOTAL AMOUNT MVR</t>
  </si>
  <si>
    <t>LABOUR  AMOUNT MVR</t>
  </si>
  <si>
    <t>MATERIAL AMOUNT MVR</t>
  </si>
  <si>
    <t>Inspection chambers</t>
  </si>
  <si>
    <t>F3</t>
  </si>
  <si>
    <t>TB1</t>
  </si>
  <si>
    <t>TB2</t>
  </si>
  <si>
    <t xml:space="preserve">Columns </t>
  </si>
  <si>
    <t>Columns</t>
  </si>
  <si>
    <t>40w Ceiling Light</t>
  </si>
  <si>
    <t>D6</t>
  </si>
  <si>
    <t>F4</t>
  </si>
  <si>
    <t>10 mm dia. Bars</t>
  </si>
  <si>
    <t>D7</t>
  </si>
  <si>
    <t>D8</t>
  </si>
  <si>
    <t>Staircase</t>
  </si>
  <si>
    <t>Attached Beams &amp; Slab,</t>
  </si>
  <si>
    <t>Foundation- TB1 &amp; TB2</t>
  </si>
  <si>
    <t xml:space="preserve">Terrace Floor </t>
  </si>
  <si>
    <t>Attached Beams &amp; Roof  Slab,</t>
  </si>
  <si>
    <t>3.4.5</t>
  </si>
  <si>
    <t>16 mm dia. Bars</t>
  </si>
  <si>
    <t>Foundatio TieBeam - TB1 &amp;TB2</t>
  </si>
  <si>
    <t>20 mm dia. Bars</t>
  </si>
  <si>
    <t>Attached Beams &amp; Slab</t>
  </si>
  <si>
    <t xml:space="preserve"> Terrace Floor </t>
  </si>
  <si>
    <t>3.5.5</t>
  </si>
  <si>
    <t>Roof Slab</t>
  </si>
  <si>
    <t>Attached Beams, Slab</t>
  </si>
  <si>
    <t>Roof Beam &amp; Slab</t>
  </si>
  <si>
    <t>Terrace  floor</t>
  </si>
  <si>
    <t>CW1</t>
  </si>
  <si>
    <t>CW2</t>
  </si>
  <si>
    <t>CW3</t>
  </si>
  <si>
    <t>GC3</t>
  </si>
  <si>
    <t>GC4</t>
  </si>
  <si>
    <t>GC1</t>
  </si>
  <si>
    <t>GC2</t>
  </si>
  <si>
    <t>GLASS CURTAIN WALL</t>
  </si>
  <si>
    <t xml:space="preserve"> Terrace  floor</t>
  </si>
  <si>
    <t>Outer GardenLights</t>
  </si>
  <si>
    <t>Cable TV Point</t>
  </si>
  <si>
    <t>Net work  Socket</t>
  </si>
  <si>
    <t>AIR-CONDITIONER</t>
  </si>
  <si>
    <t>Wall Mounted Split Type Ac</t>
  </si>
  <si>
    <t xml:space="preserve"> METAL WORKS</t>
  </si>
  <si>
    <t xml:space="preserve">  Handrail of staircase </t>
  </si>
  <si>
    <t xml:space="preserve">  Handrail of  Ramp</t>
  </si>
  <si>
    <t>METAL WORKS</t>
  </si>
  <si>
    <t>TIMBER TRELLIS</t>
  </si>
  <si>
    <t xml:space="preserve">Timber Joist 50 X 150 mm @100mm c/c </t>
  </si>
  <si>
    <t>G.I COLUMNS</t>
  </si>
  <si>
    <t>100mm x100mm GI Columns</t>
  </si>
  <si>
    <t>BILL No: 05 - METAL WORKS</t>
  </si>
  <si>
    <t>SS Pipe Handrails for Ramp as shown in drawing</t>
  </si>
  <si>
    <t>PARTITION WOOD  WORKS</t>
  </si>
  <si>
    <t>BILL N0: 06 - PARTITION WOOD WORKS</t>
  </si>
  <si>
    <t>PARTITION</t>
  </si>
  <si>
    <t>6.3.2</t>
  </si>
  <si>
    <t>Sound Proof Partition</t>
  </si>
  <si>
    <t>Glass Partition</t>
  </si>
  <si>
    <t>ST-1</t>
  </si>
  <si>
    <t>209,526.12 </t>
  </si>
  <si>
    <t>FB1</t>
  </si>
  <si>
    <t>FB2</t>
  </si>
  <si>
    <t>B1A</t>
  </si>
  <si>
    <t>TERRACE FLOOR</t>
  </si>
  <si>
    <t xml:space="preserve">ROOF LEVEL </t>
  </si>
  <si>
    <t>Area</t>
  </si>
  <si>
    <t>GF</t>
  </si>
  <si>
    <t>1F</t>
  </si>
  <si>
    <t>2F</t>
  </si>
  <si>
    <t>3F</t>
  </si>
  <si>
    <t>4F</t>
  </si>
  <si>
    <t>5F</t>
  </si>
  <si>
    <t>6F</t>
  </si>
  <si>
    <t>7F</t>
  </si>
  <si>
    <t>8F</t>
  </si>
  <si>
    <t>9F</t>
  </si>
  <si>
    <t>Ter</t>
  </si>
  <si>
    <t>Total</t>
  </si>
  <si>
    <t>8th</t>
  </si>
  <si>
    <t>9th</t>
  </si>
  <si>
    <t>10th</t>
  </si>
  <si>
    <t>Door - D1</t>
  </si>
  <si>
    <t>Door - D2</t>
  </si>
  <si>
    <t>Door - D3</t>
  </si>
  <si>
    <t>Door - D4</t>
  </si>
  <si>
    <t>Door - D5</t>
  </si>
  <si>
    <t>Door - D6</t>
  </si>
  <si>
    <t>Window- W1</t>
  </si>
  <si>
    <t>Window- W4</t>
  </si>
  <si>
    <t>Window- W5</t>
  </si>
  <si>
    <t>Window- W6</t>
  </si>
  <si>
    <t>Door - G1</t>
  </si>
  <si>
    <t>Door - G2</t>
  </si>
  <si>
    <t>Door - D1A</t>
  </si>
  <si>
    <t>Window- CW2</t>
  </si>
  <si>
    <t>Window- CW3</t>
  </si>
  <si>
    <t>Window- CW1</t>
  </si>
  <si>
    <t>Window- FW1</t>
  </si>
  <si>
    <t>Foundation- F1 -F4, Strip- 01 &amp; Raft</t>
  </si>
  <si>
    <t xml:space="preserve">Second Floor </t>
  </si>
  <si>
    <t>Stair Starter</t>
  </si>
  <si>
    <t xml:space="preserve">2nd Floor </t>
  </si>
  <si>
    <t>3.5.6</t>
  </si>
  <si>
    <t>3.6.5</t>
  </si>
  <si>
    <t>3.6.6</t>
  </si>
  <si>
    <t>Roof Level</t>
  </si>
  <si>
    <t xml:space="preserve"> DOORs &amp; WINDOW UNITS  </t>
  </si>
  <si>
    <t>Glass Curtain Wall -CW1</t>
  </si>
  <si>
    <t>Glass Curtain Wall -CW2</t>
  </si>
  <si>
    <t>Glass Curtain Wall -CW3</t>
  </si>
  <si>
    <t>Future Wall</t>
  </si>
  <si>
    <t>2nd Floor toilets</t>
  </si>
  <si>
    <t>2nd floor  Interior</t>
  </si>
  <si>
    <t>Terrace floor Exterior</t>
  </si>
  <si>
    <t>Roof level Exterior</t>
  </si>
  <si>
    <t>Terrace floor interior</t>
  </si>
  <si>
    <t>Roof level interior</t>
  </si>
  <si>
    <t>Ceiling Cassette Type Ac</t>
  </si>
  <si>
    <t xml:space="preserve">PROPOSED  THREE STOREY  INNOVATION LAB BUILDING </t>
  </si>
  <si>
    <t>(b) Rates for cable conduits, fittings, equipment and similar items shall include for: all fixings to various building surfaces</t>
  </si>
  <si>
    <t xml:space="preserve">( c ) Rates shall include for all necessary electrical wiring and accessories required for completion </t>
  </si>
  <si>
    <t xml:space="preserve">(d) All items shall be supply and complete installation </t>
  </si>
  <si>
    <t>FIRE ALARM SYSTEM</t>
  </si>
  <si>
    <t>BILL No: 12</t>
  </si>
  <si>
    <t>Supply and installation of Fire alarm control panel</t>
  </si>
  <si>
    <t>Supply and installation of smoke detector</t>
  </si>
  <si>
    <t>Supply and installation of Manual call point</t>
  </si>
  <si>
    <t>Supply and installation of sounder/bell</t>
  </si>
  <si>
    <t>Supply and installation of beacons</t>
  </si>
  <si>
    <t>nr</t>
  </si>
  <si>
    <t>Supply and installation of 2Kg CO2 Extinguishers</t>
  </si>
  <si>
    <t>Supply and installation of 9 Lt. water Extinguishers.</t>
  </si>
  <si>
    <t>FIRE EXTINGUISHERS.</t>
  </si>
  <si>
    <t xml:space="preserve"> FIRE STOPPING &amp; FIRE PROTECTION</t>
  </si>
  <si>
    <t>BILL No: 13 -  FIRE STOPPING &amp; FIRE PROTECTION</t>
  </si>
  <si>
    <t>TOTAL OF BILL No: 13 - Carried over to summary</t>
  </si>
  <si>
    <t>BILL No: 10 - HYDRAULICS AND DRAINAGE</t>
  </si>
  <si>
    <t>BILL No: 11 - PAINTING</t>
  </si>
  <si>
    <t>BILL No: 12 - ELECTRICAL INSTALLATION</t>
  </si>
  <si>
    <t>TOTAL OF BILL No: 12 - Carried over to summary</t>
  </si>
  <si>
    <t>BILL No: 13</t>
  </si>
  <si>
    <t>CLIENT: Ministry of Youth, Sports and Community Empowerment</t>
  </si>
  <si>
    <t>4</t>
  </si>
  <si>
    <t>9</t>
  </si>
  <si>
    <t>TOTAL OF BILL No: 07 - Carried over to summary</t>
  </si>
  <si>
    <t>10</t>
  </si>
  <si>
    <t>11</t>
  </si>
  <si>
    <t>12</t>
  </si>
  <si>
    <t>13</t>
  </si>
  <si>
    <t>14</t>
  </si>
  <si>
    <t>17</t>
  </si>
  <si>
    <t>Contents</t>
  </si>
  <si>
    <t>Page</t>
  </si>
  <si>
    <t>Summary</t>
  </si>
  <si>
    <t>2</t>
  </si>
  <si>
    <t>3</t>
  </si>
  <si>
    <t>5</t>
  </si>
  <si>
    <t>15</t>
  </si>
  <si>
    <t>18</t>
  </si>
  <si>
    <t>20</t>
  </si>
  <si>
    <t xml:space="preserve">Rates shall include for: cleaning out cavities, forming rebated reveals and pointing and cleaning down reveals where necessary; and wall panels, cutting or leaving holes and openings as recesses, building in pipes, conduits, sleeves and similar as required for all trades; leaving surfaces rough or raking out joints for plastering and flashing, bedding  frames, temporary supports to openings. Providing approved quality mesh at joints between structaral members and masonry in the exterior walls.                  </t>
  </si>
  <si>
    <t>20mm Thick ready mix weather sheild plastering cement on external surfaces and 15mm Thick ready mix plastering cement on internal surfaces of  walls and concrete column surfaces and 15 mm thick water proofing ready mix plastering to all toilets as specified including wire mesh at joints of concrete surfaces and masonry walls</t>
  </si>
  <si>
    <t>EPS SOLID WALL PANEL WORK</t>
  </si>
  <si>
    <t>150mm EPS Solid Wall Panels</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</si>
</sst>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1" formatCode="_(* #,##0_);_(* \(#,##0\);_(* &quot;-&quot;_);_(@_)"/>
    <numFmt numFmtId="43" formatCode="_(* #,##0.00_);_(* \(#,##0.00\);_(* &quot;-&quot;??_);_(@_)"/>
    <numFmt numFmtId="164" formatCode="0.0"/>
    <numFmt numFmtId="165" formatCode="_(* #,##0_);_(* \(#,##0\);_(* &quot;-&quot;??_);_(@_)"/>
    <numFmt numFmtId="166" formatCode="\(0\)"/>
    <numFmt numFmtId="167" formatCode="_(* #,##0.0_);_(* \(#,##0.0\);_(* &quot;-&quot;??_);_(@_)"/>
    <numFmt numFmtId="168" formatCode="_(* #,##0.000_);_(* \(#,##0.000\);_(* &quot;-&quot;??_);_(@_)"/>
    <numFmt numFmtId="169" formatCode="_(* #,##0.0000_);_(* \(#,##0.0000\);_(* &quot;-&quot;??_);_(@_)"/>
    <numFmt numFmtId="170" formatCode="_(* #,##0.00000_);_(* \(#,##0.00000\);_(* &quot;-&quot;??_);_(@_)"/>
    <numFmt numFmtId="171" formatCode="_(* #,##0.000000_);_(* \(#,##0.000000\);_(* &quot;-&quot;??_);_(@_)"/>
    <numFmt numFmtId="172" formatCode="0.000"/>
    <numFmt numFmtId="173" formatCode="_(* #,##0.000_);_(* \(#,##0.000\);_(* &quot;-&quot;???_);_(@_)"/>
  </numFmts>
  <fonts count="49">
    <font>
      <sz val="10"/>
      <name val="Arial"/>
    </font>
    <font>
      <sz val="10"/>
      <name val="Arial"/>
      <family val="2"/>
    </font>
    <font>
      <sz val="10"/>
      <name val="Arial"/>
      <family val="2"/>
    </font>
    <font>
      <sz val="8"/>
      <name val="Arial"/>
      <family val="2"/>
    </font>
    <font>
      <b/>
      <sz val="10"/>
      <name val="Arial"/>
      <family val="2"/>
    </font>
    <font>
      <b/>
      <sz val="12"/>
      <name val="Arial"/>
      <family val="2"/>
    </font>
    <font>
      <b/>
      <u/>
      <sz val="10"/>
      <name val="Arial"/>
      <family val="2"/>
    </font>
    <font>
      <sz val="14"/>
      <name val="Arial"/>
      <family val="2"/>
    </font>
    <font>
      <b/>
      <sz val="14"/>
      <name val="Arial"/>
      <family val="2"/>
    </font>
    <font>
      <sz val="8"/>
      <name val="Arial"/>
      <family val="2"/>
    </font>
    <font>
      <sz val="10"/>
      <name val="Humanst521 BT"/>
    </font>
    <font>
      <b/>
      <u/>
      <sz val="10"/>
      <name val="Humanst521 BT"/>
    </font>
    <font>
      <sz val="10"/>
      <name val="Arial"/>
      <family val="2"/>
    </font>
    <font>
      <sz val="5"/>
      <name val="Arial"/>
      <family val="2"/>
    </font>
    <font>
      <sz val="10"/>
      <color rgb="FFFF0000"/>
      <name val="Arial"/>
      <family val="2"/>
    </font>
    <font>
      <sz val="9"/>
      <name val="Arial"/>
      <family val="2"/>
    </font>
    <font>
      <sz val="10"/>
      <name val="Book Antiqua"/>
      <family val="1"/>
    </font>
    <font>
      <b/>
      <sz val="20"/>
      <name val="Book Antiqua"/>
      <family val="1"/>
    </font>
    <font>
      <b/>
      <u/>
      <sz val="14"/>
      <name val="Book Antiqua"/>
      <family val="1"/>
    </font>
    <font>
      <sz val="14"/>
      <name val="Book Antiqua"/>
      <family val="1"/>
    </font>
    <font>
      <b/>
      <sz val="14"/>
      <name val="Book Antiqua"/>
      <family val="1"/>
    </font>
    <font>
      <b/>
      <sz val="10"/>
      <name val="Book Antiqua"/>
      <family val="1"/>
    </font>
    <font>
      <b/>
      <sz val="18"/>
      <name val="Book Antiqua"/>
      <family val="1"/>
    </font>
    <font>
      <sz val="9"/>
      <name val="Humanst521 BT"/>
    </font>
    <font>
      <b/>
      <sz val="9"/>
      <name val="Arial"/>
      <family val="2"/>
    </font>
    <font>
      <sz val="10"/>
      <color rgb="FF000000"/>
      <name val="Arial"/>
      <family val="2"/>
    </font>
    <font>
      <b/>
      <sz val="12"/>
      <name val="Book Antiqua"/>
      <family val="1"/>
    </font>
    <font>
      <b/>
      <sz val="14"/>
      <name val="Times New Roman"/>
      <family val="1"/>
    </font>
    <font>
      <sz val="10"/>
      <name val="Times New Roman"/>
      <family val="1"/>
    </font>
    <font>
      <sz val="8"/>
      <name val="Book Antiqua"/>
      <family val="1"/>
    </font>
    <font>
      <sz val="7"/>
      <name val="Book Antiqua"/>
      <family val="1"/>
    </font>
    <font>
      <b/>
      <sz val="11"/>
      <color rgb="FF7030A0"/>
      <name val="Book Antiqua"/>
      <family val="1"/>
    </font>
    <font>
      <sz val="10"/>
      <color rgb="FFFF0000"/>
      <name val="Book Antiqua"/>
      <family val="1"/>
    </font>
    <font>
      <sz val="10"/>
      <color rgb="FF92D050"/>
      <name val="Book Antiqua"/>
      <family val="1"/>
    </font>
    <font>
      <sz val="10"/>
      <color rgb="FFFFFF00"/>
      <name val="Book Antiqua"/>
      <family val="1"/>
    </font>
    <font>
      <sz val="10"/>
      <color rgb="FF0070C0"/>
      <name val="Book Antiqua"/>
      <family val="1"/>
    </font>
    <font>
      <sz val="11"/>
      <name val="Arial"/>
      <family val="2"/>
    </font>
    <font>
      <sz val="11"/>
      <name val="Calibri"/>
      <family val="2"/>
    </font>
    <font>
      <sz val="8"/>
      <name val="Times New Roman"/>
      <family val="1"/>
    </font>
    <font>
      <b/>
      <sz val="10"/>
      <name val="Humanst521 BT"/>
    </font>
    <font>
      <b/>
      <sz val="10"/>
      <name val="Times New Roman"/>
      <family val="1"/>
    </font>
    <font>
      <sz val="12"/>
      <name val="Book Antiqua"/>
      <family val="1"/>
    </font>
    <font>
      <sz val="8"/>
      <name val="Arial Narrow"/>
      <family val="2"/>
    </font>
    <font>
      <b/>
      <sz val="20"/>
      <color theme="1"/>
      <name val="Times New Roman"/>
      <family val="1"/>
    </font>
    <font>
      <sz val="12"/>
      <color theme="1"/>
      <name val="Times New Roman"/>
      <family val="1"/>
    </font>
    <font>
      <sz val="8"/>
      <name val="Arial"/>
      <family val="2"/>
    </font>
    <font>
      <sz val="10"/>
      <color theme="1"/>
      <name val="Calibri"/>
      <family val="2"/>
      <scheme val="minor"/>
    </font>
    <font>
      <b/>
      <u/>
      <sz val="10"/>
      <color theme="1"/>
      <name val="Calibri"/>
      <family val="2"/>
      <scheme val="minor"/>
    </font>
    <font>
      <b/>
      <sz val="16"/>
      <name val="Book Antiqua"/>
      <family val="1"/>
    </font>
  </fonts>
  <fills count="11">
    <fill>
      <patternFill patternType="none"/>
    </fill>
    <fill>
      <patternFill patternType="gray125"/>
    </fill>
    <fill>
      <patternFill patternType="solid">
        <fgColor indexed="9"/>
        <bgColor indexed="64"/>
      </patternFill>
    </fill>
    <fill>
      <patternFill patternType="solid">
        <fgColor indexed="65"/>
        <bgColor indexed="64"/>
      </patternFill>
    </fill>
    <fill>
      <patternFill patternType="solid">
        <fgColor theme="0"/>
        <bgColor indexed="64"/>
      </patternFill>
    </fill>
    <fill>
      <patternFill patternType="solid">
        <fgColor rgb="FFD3FBE3"/>
        <bgColor indexed="64"/>
      </patternFill>
    </fill>
    <fill>
      <patternFill patternType="solid">
        <fgColor rgb="FFFFFF00"/>
        <bgColor indexed="64"/>
      </patternFill>
    </fill>
    <fill>
      <patternFill patternType="solid">
        <fgColor rgb="FF00B050"/>
        <bgColor indexed="64"/>
      </patternFill>
    </fill>
    <fill>
      <patternFill patternType="solid">
        <fgColor rgb="FFCCCCFF"/>
        <bgColor indexed="64"/>
      </patternFill>
    </fill>
    <fill>
      <patternFill patternType="solid">
        <fgColor rgb="FFFF00FF"/>
        <bgColor indexed="64"/>
      </patternFill>
    </fill>
    <fill>
      <patternFill patternType="solid">
        <fgColor rgb="FFFFC000"/>
        <bgColor indexed="64"/>
      </patternFill>
    </fill>
  </fills>
  <borders count="38">
    <border>
      <left/>
      <right/>
      <top/>
      <bottom/>
      <diagonal/>
    </border>
    <border>
      <left/>
      <right style="thin">
        <color auto="1"/>
      </right>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style="hair">
        <color auto="1"/>
      </left>
      <right/>
      <top/>
      <bottom/>
      <diagonal/>
    </border>
    <border>
      <left style="hair">
        <color auto="1"/>
      </left>
      <right style="hair">
        <color auto="1"/>
      </right>
      <top/>
      <bottom/>
      <diagonal/>
    </border>
    <border>
      <left/>
      <right style="hair">
        <color auto="1"/>
      </right>
      <top/>
      <bottom/>
      <diagonal/>
    </border>
    <border>
      <left style="medium">
        <color auto="1"/>
      </left>
      <right style="medium">
        <color auto="1"/>
      </right>
      <top/>
      <bottom style="medium">
        <color auto="1"/>
      </bottom>
      <diagonal/>
    </border>
    <border>
      <left style="hair">
        <color auto="1"/>
      </left>
      <right/>
      <top/>
      <bottom style="thin">
        <color auto="1"/>
      </bottom>
      <diagonal/>
    </border>
    <border>
      <left/>
      <right style="hair">
        <color auto="1"/>
      </right>
      <top/>
      <bottom style="thin">
        <color auto="1"/>
      </bottom>
      <diagonal/>
    </border>
    <border>
      <left/>
      <right style="hair">
        <color auto="1"/>
      </right>
      <top style="hair">
        <color auto="1"/>
      </top>
      <bottom style="hair">
        <color auto="1"/>
      </bottom>
      <diagonal/>
    </border>
    <border>
      <left style="medium">
        <color auto="1"/>
      </left>
      <right style="medium">
        <color auto="1"/>
      </right>
      <top style="medium">
        <color auto="1"/>
      </top>
      <bottom style="medium">
        <color auto="1"/>
      </bottom>
      <diagonal/>
    </border>
    <border>
      <left style="thin">
        <color auto="1"/>
      </left>
      <right style="hair">
        <color auto="1"/>
      </right>
      <top/>
      <bottom style="thin">
        <color auto="1"/>
      </bottom>
      <diagonal/>
    </border>
    <border>
      <left style="hair">
        <color auto="1"/>
      </left>
      <right style="hair">
        <color auto="1"/>
      </right>
      <top/>
      <bottom style="thin">
        <color auto="1"/>
      </bottom>
      <diagonal/>
    </border>
    <border>
      <left style="hair">
        <color auto="1"/>
      </left>
      <right style="thin">
        <color auto="1"/>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bottom style="hair">
        <color auto="1"/>
      </bottom>
      <diagonal/>
    </border>
    <border>
      <left style="hair">
        <color auto="1"/>
      </left>
      <right style="hair">
        <color auto="1"/>
      </right>
      <top/>
      <bottom style="hair">
        <color auto="1"/>
      </bottom>
      <diagonal/>
    </border>
    <border>
      <left style="hair">
        <color auto="1"/>
      </left>
      <right style="thin">
        <color auto="1"/>
      </right>
      <top style="hair">
        <color auto="1"/>
      </top>
      <bottom style="thin">
        <color auto="1"/>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top/>
      <bottom style="hair">
        <color auto="1"/>
      </bottom>
      <diagonal/>
    </border>
    <border>
      <left/>
      <right/>
      <top style="hair">
        <color auto="1"/>
      </top>
      <bottom style="hair">
        <color auto="1"/>
      </bottom>
      <diagonal/>
    </border>
  </borders>
  <cellStyleXfs count="4">
    <xf numFmtId="0" fontId="0"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502">
    <xf numFmtId="0" fontId="0" fillId="0" borderId="0" xfId="0"/>
    <xf numFmtId="0" fontId="16" fillId="0" borderId="0" xfId="0" applyFont="1"/>
    <xf numFmtId="4" fontId="16" fillId="0" borderId="0" xfId="0" applyNumberFormat="1" applyFont="1" applyAlignment="1">
      <alignment horizontal="center"/>
    </xf>
    <xf numFmtId="0" fontId="16" fillId="0" borderId="0" xfId="0" applyFont="1" applyAlignment="1">
      <alignment horizontal="center"/>
    </xf>
    <xf numFmtId="4" fontId="16" fillId="0" borderId="0" xfId="0" applyNumberFormat="1" applyFont="1" applyAlignment="1"/>
    <xf numFmtId="43" fontId="20" fillId="3" borderId="0" xfId="1" applyFont="1" applyFill="1" applyBorder="1" applyAlignment="1">
      <alignment horizontal="center" wrapText="1"/>
    </xf>
    <xf numFmtId="43" fontId="16" fillId="0" borderId="0" xfId="0" applyNumberFormat="1" applyFont="1"/>
    <xf numFmtId="43" fontId="21" fillId="0" borderId="0" xfId="1" applyFont="1"/>
    <xf numFmtId="0" fontId="16" fillId="4" borderId="0" xfId="0" applyFont="1" applyFill="1"/>
    <xf numFmtId="4" fontId="16" fillId="0" borderId="20" xfId="0" applyNumberFormat="1" applyFont="1" applyBorder="1" applyAlignment="1"/>
    <xf numFmtId="43" fontId="16" fillId="0" borderId="21" xfId="0" applyNumberFormat="1" applyFont="1" applyBorder="1"/>
    <xf numFmtId="0" fontId="16" fillId="0" borderId="21" xfId="0" applyFont="1" applyBorder="1"/>
    <xf numFmtId="4" fontId="16" fillId="0" borderId="23" xfId="0" applyNumberFormat="1" applyFont="1" applyBorder="1" applyAlignment="1"/>
    <xf numFmtId="43" fontId="16" fillId="0" borderId="7" xfId="0" applyNumberFormat="1" applyFont="1" applyBorder="1"/>
    <xf numFmtId="0" fontId="16" fillId="0" borderId="7" xfId="0" applyFont="1" applyBorder="1"/>
    <xf numFmtId="43" fontId="21" fillId="0" borderId="22" xfId="0" applyNumberFormat="1" applyFont="1" applyBorder="1"/>
    <xf numFmtId="43" fontId="17" fillId="3" borderId="0" xfId="1" applyFont="1" applyFill="1" applyBorder="1" applyAlignment="1">
      <alignment horizontal="center" wrapText="1"/>
    </xf>
    <xf numFmtId="4" fontId="19" fillId="2" borderId="0" xfId="1" applyNumberFormat="1" applyFont="1" applyFill="1" applyBorder="1" applyAlignment="1">
      <alignment horizontal="right"/>
    </xf>
    <xf numFmtId="4" fontId="19" fillId="3" borderId="0" xfId="1" applyNumberFormat="1" applyFont="1" applyFill="1" applyBorder="1" applyAlignment="1">
      <alignment horizontal="right"/>
    </xf>
    <xf numFmtId="43" fontId="16" fillId="2" borderId="0" xfId="1" applyFont="1" applyFill="1" applyBorder="1" applyAlignment="1">
      <alignment horizontal="center"/>
    </xf>
    <xf numFmtId="4" fontId="16" fillId="0" borderId="0" xfId="0" applyNumberFormat="1" applyFont="1"/>
    <xf numFmtId="43" fontId="29" fillId="0" borderId="0" xfId="0" applyNumberFormat="1" applyFont="1"/>
    <xf numFmtId="43" fontId="22" fillId="0" borderId="0" xfId="1" applyFont="1" applyFill="1" applyBorder="1" applyAlignment="1">
      <alignment horizontal="right" vertical="center"/>
    </xf>
    <xf numFmtId="4" fontId="16" fillId="0" borderId="0" xfId="0" applyNumberFormat="1" applyFont="1" applyAlignment="1">
      <alignment vertical="center"/>
    </xf>
    <xf numFmtId="0" fontId="16" fillId="0" borderId="0" xfId="0" applyFont="1" applyAlignment="1">
      <alignment vertical="center"/>
    </xf>
    <xf numFmtId="171" fontId="16" fillId="0" borderId="0" xfId="0" applyNumberFormat="1" applyFont="1"/>
    <xf numFmtId="43" fontId="16" fillId="0" borderId="0" xfId="0" applyNumberFormat="1" applyFont="1" applyAlignment="1">
      <alignment vertical="center"/>
    </xf>
    <xf numFmtId="4" fontId="31" fillId="0" borderId="16" xfId="0" applyNumberFormat="1" applyFont="1" applyBorder="1"/>
    <xf numFmtId="4" fontId="29" fillId="0" borderId="23" xfId="0" applyNumberFormat="1" applyFont="1" applyBorder="1" applyAlignment="1"/>
    <xf numFmtId="4" fontId="19" fillId="2" borderId="0" xfId="1" applyNumberFormat="1" applyFont="1" applyFill="1" applyBorder="1" applyAlignment="1">
      <alignment horizontal="center" vertical="center"/>
    </xf>
    <xf numFmtId="4" fontId="16" fillId="0" borderId="6" xfId="0" applyNumberFormat="1" applyFont="1" applyBorder="1" applyAlignment="1">
      <alignment horizontal="center" vertical="center"/>
    </xf>
    <xf numFmtId="4" fontId="30" fillId="0" borderId="6" xfId="0" applyNumberFormat="1" applyFont="1" applyBorder="1" applyAlignment="1">
      <alignment horizontal="center" vertical="center"/>
    </xf>
    <xf numFmtId="4" fontId="29" fillId="0" borderId="6" xfId="0" applyNumberFormat="1" applyFont="1" applyBorder="1" applyAlignment="1">
      <alignment horizontal="center" vertical="center"/>
    </xf>
    <xf numFmtId="43" fontId="16" fillId="0" borderId="6" xfId="0" applyNumberFormat="1" applyFont="1" applyBorder="1" applyAlignment="1">
      <alignment horizontal="center" vertical="center" wrapText="1"/>
    </xf>
    <xf numFmtId="0" fontId="16" fillId="0" borderId="6" xfId="0" applyFont="1" applyBorder="1" applyAlignment="1">
      <alignment horizontal="center" vertical="center" wrapText="1"/>
    </xf>
    <xf numFmtId="0" fontId="16" fillId="0" borderId="6" xfId="0" applyFont="1" applyBorder="1" applyAlignment="1">
      <alignment horizontal="center" vertical="center"/>
    </xf>
    <xf numFmtId="0" fontId="16" fillId="0" borderId="0" xfId="0" applyFont="1" applyAlignment="1">
      <alignment horizontal="center" vertical="center"/>
    </xf>
    <xf numFmtId="4" fontId="16" fillId="0" borderId="17" xfId="0" applyNumberFormat="1" applyFont="1" applyBorder="1" applyAlignment="1"/>
    <xf numFmtId="43" fontId="21" fillId="0" borderId="18" xfId="0" applyNumberFormat="1" applyFont="1" applyBorder="1"/>
    <xf numFmtId="4" fontId="16" fillId="0" borderId="21" xfId="0" applyNumberFormat="1" applyFont="1" applyBorder="1" applyAlignment="1"/>
    <xf numFmtId="4" fontId="16" fillId="0" borderId="7" xfId="0" applyNumberFormat="1" applyFont="1" applyBorder="1" applyAlignment="1"/>
    <xf numFmtId="4" fontId="16" fillId="0" borderId="28" xfId="0" applyNumberFormat="1" applyFont="1" applyBorder="1" applyAlignment="1"/>
    <xf numFmtId="4" fontId="16" fillId="0" borderId="29" xfId="0" applyNumberFormat="1" applyFont="1" applyBorder="1" applyAlignment="1"/>
    <xf numFmtId="43" fontId="16" fillId="0" borderId="29" xfId="0" applyNumberFormat="1" applyFont="1" applyBorder="1"/>
    <xf numFmtId="0" fontId="16" fillId="0" borderId="29" xfId="0" applyFont="1" applyBorder="1"/>
    <xf numFmtId="43" fontId="26" fillId="0" borderId="26" xfId="0" applyNumberFormat="1" applyFont="1" applyBorder="1"/>
    <xf numFmtId="43" fontId="21" fillId="0" borderId="27" xfId="0" applyNumberFormat="1" applyFont="1" applyBorder="1"/>
    <xf numFmtId="43" fontId="0" fillId="4" borderId="0" xfId="1" applyNumberFormat="1" applyFont="1" applyFill="1" applyBorder="1"/>
    <xf numFmtId="43" fontId="1" fillId="4" borderId="10" xfId="1" applyFont="1" applyFill="1" applyBorder="1"/>
    <xf numFmtId="43" fontId="0" fillId="4" borderId="9" xfId="1" applyFont="1" applyFill="1" applyBorder="1"/>
    <xf numFmtId="43" fontId="0" fillId="4" borderId="0" xfId="1" applyFont="1" applyFill="1" applyBorder="1"/>
    <xf numFmtId="43" fontId="3" fillId="4" borderId="7" xfId="1" applyFont="1" applyFill="1" applyBorder="1"/>
    <xf numFmtId="43" fontId="3" fillId="4" borderId="8" xfId="1" applyFont="1" applyFill="1" applyBorder="1"/>
    <xf numFmtId="165" fontId="4" fillId="4" borderId="6" xfId="1" applyNumberFormat="1" applyFont="1" applyFill="1" applyBorder="1"/>
    <xf numFmtId="43" fontId="0" fillId="4" borderId="0" xfId="1" applyFont="1" applyFill="1"/>
    <xf numFmtId="43" fontId="8" fillId="4" borderId="0" xfId="1" applyFont="1" applyFill="1" applyBorder="1"/>
    <xf numFmtId="43" fontId="0" fillId="4" borderId="10" xfId="1" applyFont="1" applyFill="1" applyBorder="1"/>
    <xf numFmtId="165" fontId="4" fillId="4" borderId="0" xfId="1" applyNumberFormat="1" applyFont="1" applyFill="1" applyBorder="1"/>
    <xf numFmtId="43" fontId="4" fillId="4" borderId="10" xfId="1" applyFont="1" applyFill="1" applyBorder="1"/>
    <xf numFmtId="168" fontId="4" fillId="4" borderId="0" xfId="1" applyNumberFormat="1" applyFont="1" applyFill="1" applyBorder="1"/>
    <xf numFmtId="169" fontId="0" fillId="4" borderId="0" xfId="1" applyNumberFormat="1" applyFont="1" applyFill="1" applyBorder="1"/>
    <xf numFmtId="43" fontId="4" fillId="4" borderId="0" xfId="1" applyNumberFormat="1" applyFont="1" applyFill="1"/>
    <xf numFmtId="43" fontId="12" fillId="4" borderId="10" xfId="1" applyFont="1" applyFill="1" applyBorder="1"/>
    <xf numFmtId="168" fontId="12" fillId="4" borderId="10" xfId="1" applyNumberFormat="1" applyFont="1" applyFill="1" applyBorder="1"/>
    <xf numFmtId="165" fontId="0" fillId="4" borderId="10" xfId="1" applyNumberFormat="1" applyFont="1" applyFill="1" applyBorder="1"/>
    <xf numFmtId="168" fontId="0" fillId="4" borderId="10" xfId="1" applyNumberFormat="1" applyFont="1" applyFill="1" applyBorder="1"/>
    <xf numFmtId="168" fontId="4" fillId="4" borderId="10" xfId="1" applyNumberFormat="1" applyFont="1" applyFill="1" applyBorder="1"/>
    <xf numFmtId="171" fontId="0" fillId="4" borderId="0" xfId="1" applyNumberFormat="1" applyFont="1" applyFill="1"/>
    <xf numFmtId="43" fontId="2" fillId="4" borderId="10" xfId="1" applyFont="1" applyFill="1" applyBorder="1"/>
    <xf numFmtId="165" fontId="4" fillId="4" borderId="10" xfId="1" applyNumberFormat="1" applyFont="1" applyFill="1" applyBorder="1"/>
    <xf numFmtId="43" fontId="4" fillId="4" borderId="0" xfId="1" applyFont="1" applyFill="1" applyBorder="1"/>
    <xf numFmtId="165" fontId="0" fillId="4" borderId="0" xfId="1" applyNumberFormat="1" applyFont="1" applyFill="1" applyBorder="1"/>
    <xf numFmtId="165" fontId="0" fillId="4" borderId="0" xfId="1" applyNumberFormat="1" applyFont="1" applyFill="1"/>
    <xf numFmtId="169" fontId="0" fillId="4" borderId="10" xfId="1" applyNumberFormat="1" applyFont="1" applyFill="1" applyBorder="1"/>
    <xf numFmtId="43" fontId="0" fillId="4" borderId="0" xfId="1" applyNumberFormat="1" applyFont="1" applyFill="1"/>
    <xf numFmtId="168" fontId="4" fillId="4" borderId="0" xfId="1" applyNumberFormat="1" applyFont="1" applyFill="1"/>
    <xf numFmtId="165" fontId="12" fillId="4" borderId="10" xfId="1" applyNumberFormat="1" applyFont="1" applyFill="1" applyBorder="1"/>
    <xf numFmtId="165" fontId="8" fillId="4" borderId="10" xfId="1" applyNumberFormat="1" applyFont="1" applyFill="1" applyBorder="1"/>
    <xf numFmtId="43" fontId="1" fillId="4" borderId="10" xfId="1" applyFont="1" applyFill="1" applyBorder="1" applyAlignment="1">
      <alignment wrapText="1"/>
    </xf>
    <xf numFmtId="43" fontId="4" fillId="4" borderId="6" xfId="1" applyFont="1" applyFill="1" applyBorder="1"/>
    <xf numFmtId="43" fontId="0" fillId="4" borderId="11" xfId="1" applyFont="1" applyFill="1" applyBorder="1"/>
    <xf numFmtId="43" fontId="2" fillId="4" borderId="0" xfId="1" applyFont="1" applyFill="1" applyBorder="1"/>
    <xf numFmtId="165" fontId="2" fillId="4" borderId="10" xfId="1" applyNumberFormat="1" applyFont="1" applyFill="1" applyBorder="1"/>
    <xf numFmtId="168" fontId="2" fillId="4" borderId="10" xfId="1" applyNumberFormat="1" applyFont="1" applyFill="1" applyBorder="1"/>
    <xf numFmtId="165" fontId="2" fillId="4" borderId="0" xfId="1" applyNumberFormat="1" applyFont="1" applyFill="1" applyBorder="1"/>
    <xf numFmtId="43" fontId="9" fillId="4" borderId="9" xfId="1" applyFont="1" applyFill="1" applyBorder="1" applyAlignment="1">
      <alignment horizontal="center"/>
    </xf>
    <xf numFmtId="43" fontId="4" fillId="4" borderId="6" xfId="1" applyNumberFormat="1" applyFont="1" applyFill="1" applyBorder="1"/>
    <xf numFmtId="43" fontId="2" fillId="4" borderId="9" xfId="1" applyFont="1" applyFill="1" applyBorder="1"/>
    <xf numFmtId="43" fontId="12" fillId="4" borderId="0" xfId="1" applyFont="1" applyFill="1"/>
    <xf numFmtId="43" fontId="12" fillId="4" borderId="0" xfId="1" applyFont="1" applyFill="1" applyBorder="1"/>
    <xf numFmtId="43" fontId="4" fillId="4" borderId="0" xfId="1" applyNumberFormat="1" applyFont="1" applyFill="1" applyBorder="1"/>
    <xf numFmtId="43" fontId="1" fillId="4" borderId="9" xfId="1" applyFont="1" applyFill="1" applyBorder="1"/>
    <xf numFmtId="43" fontId="12" fillId="4" borderId="11" xfId="1" applyFont="1" applyFill="1" applyBorder="1"/>
    <xf numFmtId="43" fontId="14" fillId="4" borderId="10" xfId="1" applyFont="1" applyFill="1" applyBorder="1"/>
    <xf numFmtId="43" fontId="3" fillId="4" borderId="10" xfId="1" applyFont="1" applyFill="1" applyBorder="1" applyAlignment="1">
      <alignment wrapText="1"/>
    </xf>
    <xf numFmtId="43" fontId="1" fillId="4" borderId="0" xfId="1" applyFont="1" applyFill="1"/>
    <xf numFmtId="16" fontId="0" fillId="4" borderId="10" xfId="1" applyNumberFormat="1" applyFont="1" applyFill="1" applyBorder="1"/>
    <xf numFmtId="43" fontId="0" fillId="4" borderId="10" xfId="1" applyNumberFormat="1" applyFont="1" applyFill="1" applyBorder="1"/>
    <xf numFmtId="43" fontId="0" fillId="4" borderId="10" xfId="1" applyFont="1" applyFill="1" applyBorder="1" applyAlignment="1">
      <alignment horizontal="right" wrapText="1"/>
    </xf>
    <xf numFmtId="43" fontId="4" fillId="4" borderId="10" xfId="1" applyFont="1" applyFill="1" applyBorder="1" applyAlignment="1"/>
    <xf numFmtId="165" fontId="4" fillId="4" borderId="0" xfId="1" applyNumberFormat="1" applyFont="1" applyFill="1"/>
    <xf numFmtId="168" fontId="12" fillId="4" borderId="0" xfId="1" applyNumberFormat="1" applyFont="1" applyFill="1" applyBorder="1"/>
    <xf numFmtId="0" fontId="18" fillId="2" borderId="0" xfId="0" applyFont="1" applyFill="1" applyBorder="1" applyAlignment="1" applyProtection="1">
      <alignment horizontal="left"/>
    </xf>
    <xf numFmtId="0" fontId="4" fillId="4" borderId="6" xfId="0" applyFont="1" applyFill="1" applyBorder="1" applyAlignment="1">
      <alignment horizontal="center" vertical="center"/>
    </xf>
    <xf numFmtId="0" fontId="4" fillId="4" borderId="6" xfId="0" applyFont="1" applyFill="1" applyBorder="1" applyAlignment="1">
      <alignment horizontal="center" vertical="center" wrapText="1"/>
    </xf>
    <xf numFmtId="0" fontId="2" fillId="4" borderId="0" xfId="0" applyFont="1" applyFill="1" applyBorder="1"/>
    <xf numFmtId="43" fontId="6" fillId="4" borderId="5" xfId="1" applyFont="1" applyFill="1" applyBorder="1" applyAlignment="1">
      <alignment horizontal="center" wrapText="1"/>
    </xf>
    <xf numFmtId="43" fontId="6" fillId="4" borderId="2" xfId="1" applyFont="1" applyFill="1" applyBorder="1" applyAlignment="1">
      <alignment horizontal="center" wrapText="1"/>
    </xf>
    <xf numFmtId="164" fontId="4" fillId="4" borderId="2" xfId="1" applyNumberFormat="1" applyFont="1" applyFill="1" applyBorder="1" applyAlignment="1">
      <alignment horizontal="right" vertical="justify"/>
    </xf>
    <xf numFmtId="43" fontId="6" fillId="4" borderId="2" xfId="1" applyFont="1" applyFill="1" applyBorder="1" applyAlignment="1">
      <alignment horizontal="justify" vertical="top" wrapText="1"/>
    </xf>
    <xf numFmtId="166" fontId="2" fillId="4" borderId="2" xfId="1" applyNumberFormat="1" applyFont="1" applyFill="1" applyBorder="1" applyAlignment="1">
      <alignment horizontal="right" vertical="justify"/>
    </xf>
    <xf numFmtId="43" fontId="2" fillId="4" borderId="2" xfId="1" applyFont="1" applyFill="1" applyBorder="1" applyAlignment="1">
      <alignment horizontal="justify" wrapText="1"/>
    </xf>
    <xf numFmtId="43" fontId="2" fillId="4" borderId="2" xfId="1" applyFont="1" applyFill="1" applyBorder="1" applyAlignment="1">
      <alignment horizontal="justify" vertical="top" wrapText="1"/>
    </xf>
    <xf numFmtId="43" fontId="1" fillId="4" borderId="2" xfId="1" applyFont="1" applyFill="1" applyBorder="1" applyAlignment="1">
      <alignment horizontal="left" vertical="top" wrapText="1"/>
    </xf>
    <xf numFmtId="43" fontId="2" fillId="4" borderId="2" xfId="1" applyFont="1" applyFill="1" applyBorder="1" applyAlignment="1">
      <alignment horizontal="center" vertical="top"/>
    </xf>
    <xf numFmtId="43" fontId="2" fillId="4" borderId="0" xfId="1" applyFont="1" applyFill="1" applyBorder="1" applyAlignment="1">
      <alignment vertical="top"/>
    </xf>
    <xf numFmtId="164" fontId="2" fillId="4" borderId="2" xfId="1" applyNumberFormat="1" applyFont="1" applyFill="1" applyBorder="1" applyAlignment="1">
      <alignment horizontal="right" vertical="justify"/>
    </xf>
    <xf numFmtId="43" fontId="6" fillId="4" borderId="2" xfId="1" applyFont="1" applyFill="1" applyBorder="1" applyAlignment="1">
      <alignment horizontal="justify" wrapText="1"/>
    </xf>
    <xf numFmtId="43" fontId="1" fillId="4" borderId="2" xfId="1" applyFont="1" applyFill="1" applyBorder="1" applyAlignment="1">
      <alignment horizontal="justify" wrapText="1"/>
    </xf>
    <xf numFmtId="164" fontId="2" fillId="4" borderId="5" xfId="1" applyNumberFormat="1" applyFont="1" applyFill="1" applyBorder="1" applyAlignment="1">
      <alignment horizontal="right" vertical="justify"/>
    </xf>
    <xf numFmtId="43" fontId="6" fillId="4" borderId="2" xfId="1" applyFont="1" applyFill="1" applyBorder="1" applyAlignment="1">
      <alignment wrapText="1"/>
    </xf>
    <xf numFmtId="164" fontId="2" fillId="4" borderId="2" xfId="1" applyNumberFormat="1" applyFont="1" applyFill="1" applyBorder="1" applyAlignment="1">
      <alignment horizontal="right" vertical="top"/>
    </xf>
    <xf numFmtId="43" fontId="6" fillId="4" borderId="2" xfId="1" applyFont="1" applyFill="1" applyBorder="1" applyAlignment="1">
      <alignment horizontal="left" wrapText="1"/>
    </xf>
    <xf numFmtId="43" fontId="4" fillId="4" borderId="9" xfId="1" applyFont="1" applyFill="1" applyBorder="1"/>
    <xf numFmtId="168" fontId="1" fillId="4" borderId="10" xfId="1" applyNumberFormat="1" applyFont="1" applyFill="1" applyBorder="1"/>
    <xf numFmtId="43" fontId="1" fillId="4" borderId="0" xfId="1" applyFont="1" applyFill="1" applyBorder="1"/>
    <xf numFmtId="165" fontId="1" fillId="4" borderId="10" xfId="1" applyNumberFormat="1" applyFont="1" applyFill="1" applyBorder="1"/>
    <xf numFmtId="43" fontId="1" fillId="4" borderId="0" xfId="1" applyNumberFormat="1" applyFont="1" applyFill="1" applyBorder="1"/>
    <xf numFmtId="43" fontId="1" fillId="4" borderId="6" xfId="1" applyFont="1" applyFill="1" applyBorder="1"/>
    <xf numFmtId="43" fontId="7" fillId="4" borderId="12" xfId="1" applyFont="1" applyFill="1" applyBorder="1"/>
    <xf numFmtId="168" fontId="1" fillId="4" borderId="0" xfId="1" applyNumberFormat="1" applyFont="1" applyFill="1" applyBorder="1"/>
    <xf numFmtId="43" fontId="19" fillId="0" borderId="0" xfId="1" applyFont="1" applyAlignment="1">
      <alignment horizontal="center"/>
    </xf>
    <xf numFmtId="0" fontId="1" fillId="4" borderId="0" xfId="0" applyFont="1" applyFill="1"/>
    <xf numFmtId="0" fontId="13" fillId="4" borderId="0" xfId="0" applyFont="1" applyFill="1"/>
    <xf numFmtId="0" fontId="4" fillId="4" borderId="6" xfId="0" applyFont="1" applyFill="1" applyBorder="1"/>
    <xf numFmtId="0" fontId="1" fillId="4" borderId="6" xfId="0" applyFont="1" applyFill="1" applyBorder="1"/>
    <xf numFmtId="165" fontId="1" fillId="4" borderId="6" xfId="1" applyNumberFormat="1" applyFont="1" applyFill="1" applyBorder="1"/>
    <xf numFmtId="43" fontId="4" fillId="4" borderId="0" xfId="1" applyFont="1" applyFill="1"/>
    <xf numFmtId="172" fontId="1" fillId="4" borderId="6" xfId="0" applyNumberFormat="1" applyFont="1" applyFill="1" applyBorder="1"/>
    <xf numFmtId="2" fontId="1" fillId="4" borderId="6" xfId="0" applyNumberFormat="1" applyFont="1" applyFill="1" applyBorder="1"/>
    <xf numFmtId="1" fontId="1" fillId="4" borderId="6" xfId="0" applyNumberFormat="1" applyFont="1" applyFill="1" applyBorder="1"/>
    <xf numFmtId="43" fontId="13" fillId="4" borderId="0" xfId="1" applyFont="1" applyFill="1"/>
    <xf numFmtId="43" fontId="32" fillId="0" borderId="0" xfId="0" applyNumberFormat="1" applyFont="1"/>
    <xf numFmtId="43" fontId="33" fillId="0" borderId="0" xfId="0" applyNumberFormat="1" applyFont="1"/>
    <xf numFmtId="43" fontId="34" fillId="0" borderId="0" xfId="0" applyNumberFormat="1" applyFont="1"/>
    <xf numFmtId="43" fontId="35" fillId="0" borderId="0" xfId="0" applyNumberFormat="1" applyFont="1"/>
    <xf numFmtId="43" fontId="0" fillId="4" borderId="9" xfId="1" applyFont="1" applyFill="1" applyBorder="1" applyAlignment="1">
      <alignment vertical="center"/>
    </xf>
    <xf numFmtId="43" fontId="1" fillId="4" borderId="0" xfId="1" applyFont="1" applyFill="1" applyBorder="1" applyAlignment="1">
      <alignment vertical="center"/>
    </xf>
    <xf numFmtId="43" fontId="0" fillId="4" borderId="0" xfId="1" applyFont="1" applyFill="1" applyBorder="1" applyAlignment="1">
      <alignment vertical="center"/>
    </xf>
    <xf numFmtId="43" fontId="3" fillId="4" borderId="7" xfId="1" applyFont="1" applyFill="1" applyBorder="1" applyAlignment="1">
      <alignment vertical="center"/>
    </xf>
    <xf numFmtId="43" fontId="3" fillId="4" borderId="8" xfId="1" applyFont="1" applyFill="1" applyBorder="1" applyAlignment="1">
      <alignment vertical="center"/>
    </xf>
    <xf numFmtId="165" fontId="4" fillId="4" borderId="6" xfId="1" applyNumberFormat="1" applyFont="1" applyFill="1" applyBorder="1" applyAlignment="1">
      <alignment vertical="center"/>
    </xf>
    <xf numFmtId="43" fontId="0" fillId="4" borderId="0" xfId="1" applyFont="1" applyFill="1" applyAlignment="1">
      <alignment vertical="center"/>
    </xf>
    <xf numFmtId="165" fontId="14" fillId="4" borderId="10" xfId="1" applyNumberFormat="1" applyFont="1" applyFill="1" applyBorder="1"/>
    <xf numFmtId="165" fontId="1" fillId="4" borderId="0" xfId="1" applyNumberFormat="1" applyFont="1" applyFill="1" applyBorder="1"/>
    <xf numFmtId="165" fontId="1" fillId="4" borderId="0" xfId="1" applyNumberFormat="1" applyFont="1" applyFill="1"/>
    <xf numFmtId="165" fontId="12" fillId="4" borderId="0" xfId="1" applyNumberFormat="1" applyFont="1" applyFill="1"/>
    <xf numFmtId="43" fontId="4" fillId="5" borderId="0" xfId="1" applyNumberFormat="1" applyFont="1" applyFill="1"/>
    <xf numFmtId="168" fontId="4" fillId="5" borderId="10" xfId="1" applyNumberFormat="1" applyFont="1" applyFill="1" applyBorder="1"/>
    <xf numFmtId="43" fontId="1" fillId="5" borderId="0" xfId="1" applyNumberFormat="1" applyFont="1" applyFill="1"/>
    <xf numFmtId="168" fontId="1" fillId="5" borderId="10" xfId="1" applyNumberFormat="1" applyFont="1" applyFill="1" applyBorder="1"/>
    <xf numFmtId="168" fontId="4" fillId="5" borderId="0" xfId="1" applyNumberFormat="1" applyFont="1" applyFill="1"/>
    <xf numFmtId="165" fontId="1" fillId="5" borderId="10" xfId="1" applyNumberFormat="1" applyFont="1" applyFill="1" applyBorder="1"/>
    <xf numFmtId="43" fontId="0" fillId="5" borderId="10" xfId="1" applyFont="1" applyFill="1" applyBorder="1"/>
    <xf numFmtId="43" fontId="12" fillId="5" borderId="10" xfId="1" applyFont="1" applyFill="1" applyBorder="1"/>
    <xf numFmtId="43" fontId="0" fillId="5" borderId="0" xfId="1" applyFont="1" applyFill="1"/>
    <xf numFmtId="43" fontId="4" fillId="5" borderId="10" xfId="1" applyFont="1" applyFill="1" applyBorder="1"/>
    <xf numFmtId="43" fontId="4" fillId="5" borderId="6" xfId="1" applyFont="1" applyFill="1" applyBorder="1"/>
    <xf numFmtId="43" fontId="4" fillId="5" borderId="6" xfId="1" applyNumberFormat="1" applyFont="1" applyFill="1" applyBorder="1"/>
    <xf numFmtId="43" fontId="1" fillId="5" borderId="0" xfId="1" applyFont="1" applyFill="1" applyBorder="1"/>
    <xf numFmtId="168" fontId="12" fillId="5" borderId="10" xfId="1" applyNumberFormat="1" applyFont="1" applyFill="1" applyBorder="1"/>
    <xf numFmtId="43" fontId="1" fillId="5" borderId="10" xfId="1" applyFont="1" applyFill="1" applyBorder="1"/>
    <xf numFmtId="43" fontId="4" fillId="6" borderId="6" xfId="1" applyFont="1" applyFill="1" applyBorder="1"/>
    <xf numFmtId="43" fontId="4" fillId="6" borderId="6" xfId="1" applyNumberFormat="1" applyFont="1" applyFill="1" applyBorder="1"/>
    <xf numFmtId="43" fontId="4" fillId="5" borderId="0" xfId="1" applyFont="1" applyFill="1" applyBorder="1"/>
    <xf numFmtId="43" fontId="2" fillId="4" borderId="2" xfId="1" applyFont="1" applyFill="1" applyBorder="1" applyAlignment="1">
      <alignment horizontal="left" vertical="top" wrapText="1"/>
    </xf>
    <xf numFmtId="0" fontId="2" fillId="4" borderId="0" xfId="0" applyFont="1" applyFill="1" applyBorder="1" applyAlignment="1">
      <alignment wrapText="1"/>
    </xf>
    <xf numFmtId="43" fontId="2" fillId="4" borderId="19" xfId="1" applyFont="1" applyFill="1" applyBorder="1" applyAlignment="1">
      <alignment horizontal="right"/>
    </xf>
    <xf numFmtId="0" fontId="1" fillId="4" borderId="0" xfId="0" applyFont="1" applyFill="1" applyBorder="1"/>
    <xf numFmtId="0" fontId="1" fillId="4" borderId="0" xfId="0" applyFont="1" applyFill="1" applyBorder="1" applyAlignment="1">
      <alignment wrapText="1"/>
    </xf>
    <xf numFmtId="167" fontId="1" fillId="7" borderId="6" xfId="1" applyNumberFormat="1" applyFont="1" applyFill="1" applyBorder="1"/>
    <xf numFmtId="170" fontId="0" fillId="4" borderId="10" xfId="1" applyNumberFormat="1" applyFont="1" applyFill="1" applyBorder="1"/>
    <xf numFmtId="0" fontId="19" fillId="0" borderId="0" xfId="0" applyFont="1" applyAlignment="1">
      <alignment horizontal="center"/>
    </xf>
    <xf numFmtId="43" fontId="19" fillId="0" borderId="0" xfId="1" applyFont="1" applyAlignment="1">
      <alignment horizontal="center"/>
    </xf>
    <xf numFmtId="4" fontId="19" fillId="3" borderId="1" xfId="1" applyNumberFormat="1" applyFont="1" applyFill="1" applyBorder="1" applyAlignment="1">
      <alignment horizontal="right"/>
    </xf>
    <xf numFmtId="43" fontId="0" fillId="6" borderId="10" xfId="1" applyFont="1" applyFill="1" applyBorder="1"/>
    <xf numFmtId="43" fontId="2" fillId="8" borderId="19" xfId="1" applyFont="1" applyFill="1" applyBorder="1" applyAlignment="1">
      <alignment horizontal="right"/>
    </xf>
    <xf numFmtId="0" fontId="0" fillId="0" borderId="20" xfId="0" applyBorder="1"/>
    <xf numFmtId="0" fontId="0" fillId="0" borderId="21" xfId="0" applyBorder="1"/>
    <xf numFmtId="43" fontId="1" fillId="4" borderId="21" xfId="1" applyFont="1" applyFill="1" applyBorder="1" applyAlignment="1">
      <alignment horizontal="right"/>
    </xf>
    <xf numFmtId="0" fontId="0" fillId="0" borderId="22" xfId="0" applyBorder="1"/>
    <xf numFmtId="0" fontId="0" fillId="0" borderId="23" xfId="0" applyBorder="1"/>
    <xf numFmtId="0" fontId="0" fillId="0" borderId="7" xfId="0" applyBorder="1"/>
    <xf numFmtId="43" fontId="1" fillId="4" borderId="7" xfId="1" applyFont="1" applyFill="1" applyBorder="1" applyAlignment="1">
      <alignment horizontal="right"/>
    </xf>
    <xf numFmtId="0" fontId="0" fillId="0" borderId="27" xfId="0" applyBorder="1"/>
    <xf numFmtId="43" fontId="0" fillId="0" borderId="7" xfId="1" applyFont="1" applyBorder="1"/>
    <xf numFmtId="43" fontId="0" fillId="0" borderId="27" xfId="1" applyFont="1" applyBorder="1"/>
    <xf numFmtId="43" fontId="1" fillId="4" borderId="7" xfId="1" applyFont="1" applyFill="1" applyBorder="1"/>
    <xf numFmtId="43" fontId="0" fillId="0" borderId="0" xfId="0" applyNumberFormat="1"/>
    <xf numFmtId="0" fontId="0" fillId="0" borderId="24" xfId="0" applyBorder="1"/>
    <xf numFmtId="0" fontId="0" fillId="0" borderId="25" xfId="0" applyBorder="1"/>
    <xf numFmtId="43" fontId="1" fillId="4" borderId="25" xfId="1" applyNumberFormat="1" applyFont="1" applyFill="1" applyBorder="1" applyAlignment="1">
      <alignment horizontal="right"/>
    </xf>
    <xf numFmtId="43" fontId="1" fillId="4" borderId="25" xfId="1" applyFont="1" applyFill="1" applyBorder="1" applyAlignment="1">
      <alignment horizontal="right"/>
    </xf>
    <xf numFmtId="43" fontId="0" fillId="0" borderId="25" xfId="1" applyFont="1" applyBorder="1"/>
    <xf numFmtId="43" fontId="0" fillId="0" borderId="30" xfId="1" applyFont="1" applyBorder="1"/>
    <xf numFmtId="43" fontId="0" fillId="9" borderId="0" xfId="0" applyNumberFormat="1" applyFill="1"/>
    <xf numFmtId="0" fontId="1" fillId="0" borderId="23" xfId="0" applyFont="1" applyBorder="1"/>
    <xf numFmtId="43" fontId="2" fillId="10" borderId="19" xfId="1" applyFont="1" applyFill="1" applyBorder="1" applyAlignment="1">
      <alignment horizontal="right"/>
    </xf>
    <xf numFmtId="43" fontId="2" fillId="7" borderId="19" xfId="1" applyFont="1" applyFill="1" applyBorder="1" applyAlignment="1">
      <alignment horizontal="right"/>
    </xf>
    <xf numFmtId="43" fontId="21" fillId="7" borderId="18" xfId="0" applyNumberFormat="1" applyFont="1" applyFill="1" applyBorder="1"/>
    <xf numFmtId="0" fontId="16" fillId="7" borderId="0" xfId="0" applyFont="1" applyFill="1"/>
    <xf numFmtId="4" fontId="32" fillId="7" borderId="0" xfId="0" applyNumberFormat="1" applyFont="1" applyFill="1"/>
    <xf numFmtId="43" fontId="2" fillId="5" borderId="19" xfId="1" applyFont="1" applyFill="1" applyBorder="1" applyAlignment="1">
      <alignment horizontal="right"/>
    </xf>
    <xf numFmtId="43" fontId="1" fillId="4" borderId="0" xfId="0" applyNumberFormat="1" applyFont="1" applyFill="1"/>
    <xf numFmtId="43" fontId="1" fillId="4" borderId="6" xfId="0" applyNumberFormat="1" applyFont="1" applyFill="1" applyBorder="1"/>
    <xf numFmtId="165" fontId="1" fillId="4" borderId="6" xfId="0" applyNumberFormat="1" applyFont="1" applyFill="1" applyBorder="1"/>
    <xf numFmtId="165" fontId="1" fillId="4" borderId="0" xfId="0" applyNumberFormat="1" applyFont="1" applyFill="1" applyBorder="1"/>
    <xf numFmtId="165" fontId="1" fillId="4" borderId="5" xfId="1" applyNumberFormat="1" applyFont="1" applyFill="1" applyBorder="1"/>
    <xf numFmtId="168" fontId="0" fillId="4" borderId="11" xfId="1" applyNumberFormat="1" applyFont="1" applyFill="1" applyBorder="1"/>
    <xf numFmtId="168" fontId="4" fillId="5" borderId="11" xfId="1" applyNumberFormat="1" applyFont="1" applyFill="1" applyBorder="1"/>
    <xf numFmtId="168" fontId="4" fillId="6" borderId="10" xfId="1" applyNumberFormat="1" applyFont="1" applyFill="1" applyBorder="1"/>
    <xf numFmtId="43" fontId="4" fillId="6" borderId="0" xfId="1" applyNumberFormat="1" applyFont="1" applyFill="1"/>
    <xf numFmtId="168" fontId="1" fillId="6" borderId="10" xfId="1" applyNumberFormat="1" applyFont="1" applyFill="1" applyBorder="1"/>
    <xf numFmtId="43" fontId="12" fillId="6" borderId="10" xfId="1" applyFont="1" applyFill="1" applyBorder="1"/>
    <xf numFmtId="43" fontId="2" fillId="6" borderId="19" xfId="1" applyFont="1" applyFill="1" applyBorder="1" applyAlignment="1">
      <alignment horizontal="right"/>
    </xf>
    <xf numFmtId="43" fontId="2" fillId="6" borderId="0" xfId="1" applyFont="1" applyFill="1" applyBorder="1"/>
    <xf numFmtId="0" fontId="3" fillId="4" borderId="2" xfId="1" applyNumberFormat="1" applyFont="1" applyFill="1" applyBorder="1" applyAlignment="1" applyProtection="1">
      <alignment horizontal="left" vertical="top" wrapText="1"/>
      <protection locked="0"/>
    </xf>
    <xf numFmtId="43" fontId="3" fillId="4" borderId="2" xfId="1" applyFont="1" applyFill="1" applyBorder="1" applyAlignment="1">
      <alignment horizontal="justify" wrapText="1"/>
    </xf>
    <xf numFmtId="43" fontId="2" fillId="4" borderId="0" xfId="1" applyFont="1" applyFill="1" applyBorder="1" applyAlignment="1">
      <alignment vertical="center"/>
    </xf>
    <xf numFmtId="0" fontId="38" fillId="4" borderId="0" xfId="0" applyFont="1" applyFill="1"/>
    <xf numFmtId="0" fontId="38" fillId="2" borderId="0" xfId="0" applyFont="1" applyFill="1" applyBorder="1"/>
    <xf numFmtId="164" fontId="27" fillId="3" borderId="0" xfId="1" applyNumberFormat="1" applyFont="1" applyFill="1" applyBorder="1" applyAlignment="1">
      <alignment vertical="center"/>
    </xf>
    <xf numFmtId="164" fontId="40" fillId="3" borderId="0" xfId="1" applyNumberFormat="1" applyFont="1" applyFill="1" applyBorder="1" applyAlignment="1">
      <alignment vertical="center"/>
    </xf>
    <xf numFmtId="43" fontId="26" fillId="3" borderId="0" xfId="1" applyFont="1" applyFill="1" applyBorder="1" applyAlignment="1">
      <alignment horizontal="center" wrapText="1"/>
    </xf>
    <xf numFmtId="4" fontId="41" fillId="2" borderId="2" xfId="1" applyNumberFormat="1" applyFont="1" applyFill="1" applyBorder="1" applyAlignment="1">
      <alignment horizontal="right"/>
    </xf>
    <xf numFmtId="43" fontId="41" fillId="2" borderId="0" xfId="1" applyFont="1" applyFill="1" applyBorder="1" applyAlignment="1">
      <alignment horizontal="left" vertical="center" wrapText="1"/>
    </xf>
    <xf numFmtId="4" fontId="41" fillId="3" borderId="2" xfId="1" applyNumberFormat="1" applyFont="1" applyFill="1" applyBorder="1" applyAlignment="1">
      <alignment horizontal="right"/>
    </xf>
    <xf numFmtId="43" fontId="41" fillId="2" borderId="0" xfId="1" applyFont="1" applyFill="1" applyBorder="1" applyAlignment="1">
      <alignment horizontal="justify" vertical="center" wrapText="1"/>
    </xf>
    <xf numFmtId="43" fontId="41" fillId="2" borderId="0" xfId="1" applyFont="1" applyFill="1" applyBorder="1" applyAlignment="1">
      <alignment vertical="center" wrapText="1"/>
    </xf>
    <xf numFmtId="43" fontId="26" fillId="2" borderId="0" xfId="1" applyFont="1" applyFill="1" applyBorder="1" applyAlignment="1">
      <alignment wrapText="1"/>
    </xf>
    <xf numFmtId="43" fontId="41" fillId="2" borderId="2" xfId="1" applyFont="1" applyFill="1" applyBorder="1" applyAlignment="1">
      <alignment horizontal="center"/>
    </xf>
    <xf numFmtId="43" fontId="26" fillId="0" borderId="6" xfId="1" applyFont="1" applyFill="1" applyBorder="1" applyAlignment="1">
      <alignment horizontal="right"/>
    </xf>
    <xf numFmtId="164" fontId="41" fillId="3" borderId="2" xfId="1" applyNumberFormat="1" applyFont="1" applyFill="1" applyBorder="1" applyAlignment="1">
      <alignment horizontal="center" vertical="justify"/>
    </xf>
    <xf numFmtId="43" fontId="41" fillId="3" borderId="2" xfId="1" applyFont="1" applyFill="1" applyBorder="1"/>
    <xf numFmtId="1" fontId="41" fillId="2" borderId="2" xfId="1" applyNumberFormat="1" applyFont="1" applyFill="1" applyBorder="1" applyAlignment="1">
      <alignment horizontal="center" vertical="center"/>
    </xf>
    <xf numFmtId="164" fontId="26" fillId="2" borderId="2" xfId="1" applyNumberFormat="1" applyFont="1" applyFill="1" applyBorder="1" applyAlignment="1">
      <alignment horizontal="center" vertical="justify"/>
    </xf>
    <xf numFmtId="43" fontId="14" fillId="4" borderId="9" xfId="1" applyFont="1" applyFill="1" applyBorder="1"/>
    <xf numFmtId="43" fontId="14" fillId="4" borderId="0" xfId="1" applyFont="1" applyFill="1" applyBorder="1"/>
    <xf numFmtId="164" fontId="1" fillId="4" borderId="2" xfId="1" applyNumberFormat="1" applyFont="1" applyFill="1" applyBorder="1" applyAlignment="1">
      <alignment horizontal="right" vertical="justify"/>
    </xf>
    <xf numFmtId="43" fontId="2" fillId="4" borderId="2" xfId="1" applyNumberFormat="1" applyFont="1" applyFill="1" applyBorder="1" applyAlignment="1">
      <alignment horizontal="right" vertical="top"/>
    </xf>
    <xf numFmtId="43" fontId="1" fillId="4" borderId="10" xfId="1" applyNumberFormat="1" applyFont="1" applyFill="1" applyBorder="1"/>
    <xf numFmtId="43" fontId="21" fillId="3" borderId="6" xfId="1" applyFont="1" applyFill="1" applyBorder="1" applyAlignment="1">
      <alignment horizontal="center" vertical="center" wrapText="1"/>
    </xf>
    <xf numFmtId="43" fontId="21" fillId="4" borderId="6" xfId="1" applyFont="1" applyFill="1" applyBorder="1" applyAlignment="1">
      <alignment horizontal="center" vertical="center" wrapText="1"/>
    </xf>
    <xf numFmtId="43" fontId="4" fillId="4" borderId="6" xfId="1" applyNumberFormat="1" applyFont="1" applyFill="1" applyBorder="1" applyAlignment="1">
      <alignment horizontal="center" vertical="top"/>
    </xf>
    <xf numFmtId="43" fontId="4" fillId="4" borderId="6" xfId="1" applyFont="1" applyFill="1" applyBorder="1" applyAlignment="1">
      <alignment horizontal="center" vertical="top"/>
    </xf>
    <xf numFmtId="43" fontId="4" fillId="4" borderId="6" xfId="1" applyFont="1" applyFill="1" applyBorder="1" applyAlignment="1">
      <alignment horizontal="center" vertical="top" wrapText="1"/>
    </xf>
    <xf numFmtId="43" fontId="2" fillId="4" borderId="5" xfId="1" applyFont="1" applyFill="1" applyBorder="1" applyAlignment="1">
      <alignment horizontal="right" vertical="top"/>
    </xf>
    <xf numFmtId="43" fontId="5" fillId="4" borderId="3" xfId="1" applyFont="1" applyFill="1" applyBorder="1" applyAlignment="1">
      <alignment horizontal="right" vertical="top"/>
    </xf>
    <xf numFmtId="43" fontId="4" fillId="4" borderId="3" xfId="1" applyFont="1" applyFill="1" applyBorder="1" applyAlignment="1">
      <alignment horizontal="right" vertical="top" wrapText="1"/>
    </xf>
    <xf numFmtId="43" fontId="2" fillId="4" borderId="5" xfId="1" applyNumberFormat="1" applyFont="1" applyFill="1" applyBorder="1" applyAlignment="1">
      <alignment horizontal="right" vertical="top"/>
    </xf>
    <xf numFmtId="43" fontId="2" fillId="4" borderId="5" xfId="1" applyFont="1" applyFill="1" applyBorder="1" applyAlignment="1">
      <alignment horizontal="center" vertical="top"/>
    </xf>
    <xf numFmtId="43" fontId="2" fillId="4" borderId="2" xfId="1" applyFont="1" applyFill="1" applyBorder="1" applyAlignment="1">
      <alignment horizontal="right" vertical="top"/>
    </xf>
    <xf numFmtId="43" fontId="1" fillId="4" borderId="2" xfId="1" applyFont="1" applyFill="1" applyBorder="1" applyAlignment="1">
      <alignment horizontal="right" vertical="top"/>
    </xf>
    <xf numFmtId="43" fontId="2" fillId="4" borderId="2" xfId="1" applyFont="1" applyFill="1" applyBorder="1" applyAlignment="1">
      <alignment vertical="top"/>
    </xf>
    <xf numFmtId="43" fontId="1" fillId="4" borderId="2" xfId="1" applyFont="1" applyFill="1" applyBorder="1" applyAlignment="1">
      <alignment horizontal="center" vertical="top"/>
    </xf>
    <xf numFmtId="43" fontId="2" fillId="4" borderId="2" xfId="1" applyNumberFormat="1" applyFont="1" applyFill="1" applyBorder="1" applyAlignment="1">
      <alignment vertical="top"/>
    </xf>
    <xf numFmtId="43" fontId="2" fillId="4" borderId="5" xfId="1" applyFont="1" applyFill="1" applyBorder="1" applyAlignment="1">
      <alignment vertical="top"/>
    </xf>
    <xf numFmtId="43" fontId="1" fillId="4" borderId="0" xfId="1" applyNumberFormat="1" applyFont="1" applyFill="1" applyBorder="1" applyAlignment="1">
      <alignment horizontal="right" vertical="top"/>
    </xf>
    <xf numFmtId="43" fontId="1" fillId="4" borderId="0" xfId="1" applyFont="1" applyFill="1" applyBorder="1" applyAlignment="1">
      <alignment vertical="top"/>
    </xf>
    <xf numFmtId="43" fontId="1" fillId="4" borderId="0" xfId="1" applyFont="1" applyFill="1" applyBorder="1" applyAlignment="1">
      <alignment horizontal="right" vertical="top"/>
    </xf>
    <xf numFmtId="43" fontId="2" fillId="4" borderId="0" xfId="1" applyNumberFormat="1" applyFont="1" applyFill="1" applyBorder="1" applyAlignment="1">
      <alignment horizontal="right" vertical="top"/>
    </xf>
    <xf numFmtId="43" fontId="2" fillId="4" borderId="0" xfId="1" applyFont="1" applyFill="1" applyBorder="1" applyAlignment="1">
      <alignment horizontal="right" vertical="top"/>
    </xf>
    <xf numFmtId="43" fontId="38" fillId="4" borderId="0" xfId="0" applyNumberFormat="1" applyFont="1" applyFill="1" applyAlignment="1">
      <alignment vertical="top"/>
    </xf>
    <xf numFmtId="43" fontId="1" fillId="4" borderId="2" xfId="1" applyNumberFormat="1" applyFont="1" applyFill="1" applyBorder="1" applyAlignment="1">
      <alignment horizontal="right" vertical="top"/>
    </xf>
    <xf numFmtId="43" fontId="1" fillId="4" borderId="0" xfId="0" applyNumberFormat="1" applyFont="1" applyFill="1" applyAlignment="1" applyProtection="1">
      <alignment horizontal="center" vertical="center"/>
      <protection locked="0"/>
    </xf>
    <xf numFmtId="43" fontId="4" fillId="6" borderId="5" xfId="1" applyFont="1" applyFill="1" applyBorder="1"/>
    <xf numFmtId="43" fontId="0" fillId="6" borderId="6" xfId="1" applyFont="1" applyFill="1" applyBorder="1"/>
    <xf numFmtId="0" fontId="43" fillId="4" borderId="0" xfId="0" applyFont="1" applyFill="1" applyAlignment="1">
      <alignment vertical="center"/>
    </xf>
    <xf numFmtId="0" fontId="44" fillId="4" borderId="0" xfId="0" applyFont="1" applyFill="1" applyAlignment="1">
      <alignment vertical="center"/>
    </xf>
    <xf numFmtId="173" fontId="1" fillId="4" borderId="20" xfId="0" applyNumberFormat="1" applyFont="1" applyFill="1" applyBorder="1" applyAlignment="1">
      <alignment horizontal="center"/>
    </xf>
    <xf numFmtId="173" fontId="1" fillId="4" borderId="31" xfId="0" applyNumberFormat="1" applyFont="1" applyFill="1" applyBorder="1" applyAlignment="1">
      <alignment horizontal="center"/>
    </xf>
    <xf numFmtId="43" fontId="1" fillId="4" borderId="6" xfId="1" applyFont="1" applyFill="1" applyBorder="1" applyAlignment="1">
      <alignment horizontal="center"/>
    </xf>
    <xf numFmtId="173" fontId="1" fillId="4" borderId="32" xfId="0" applyNumberFormat="1" applyFont="1" applyFill="1" applyBorder="1" applyAlignment="1">
      <alignment horizontal="center"/>
    </xf>
    <xf numFmtId="41" fontId="1" fillId="4" borderId="21" xfId="0" applyNumberFormat="1" applyFont="1" applyFill="1" applyBorder="1" applyAlignment="1">
      <alignment horizontal="center"/>
    </xf>
    <xf numFmtId="41" fontId="1" fillId="4" borderId="31" xfId="0" applyNumberFormat="1" applyFont="1" applyFill="1" applyBorder="1" applyAlignment="1">
      <alignment horizontal="center"/>
    </xf>
    <xf numFmtId="41" fontId="1" fillId="4" borderId="6" xfId="0" applyNumberFormat="1" applyFont="1" applyFill="1" applyBorder="1" applyAlignment="1">
      <alignment horizontal="center"/>
    </xf>
    <xf numFmtId="173" fontId="1" fillId="4" borderId="0" xfId="0" applyNumberFormat="1" applyFont="1" applyFill="1" applyAlignment="1">
      <alignment horizontal="center"/>
    </xf>
    <xf numFmtId="173" fontId="1" fillId="6" borderId="23" xfId="0" applyNumberFormat="1" applyFont="1" applyFill="1" applyBorder="1"/>
    <xf numFmtId="43" fontId="1" fillId="4" borderId="6" xfId="3" applyFont="1" applyFill="1" applyBorder="1"/>
    <xf numFmtId="43" fontId="1" fillId="4" borderId="6" xfId="3" applyFont="1" applyFill="1" applyBorder="1" applyAlignment="1">
      <alignment horizontal="center"/>
    </xf>
    <xf numFmtId="41" fontId="1" fillId="4" borderId="15" xfId="0" applyNumberFormat="1" applyFont="1" applyFill="1" applyBorder="1"/>
    <xf numFmtId="41" fontId="1" fillId="4" borderId="7" xfId="0" applyNumberFormat="1" applyFont="1" applyFill="1" applyBorder="1"/>
    <xf numFmtId="41" fontId="1" fillId="0" borderId="6" xfId="0" applyNumberFormat="1" applyFont="1" applyBorder="1"/>
    <xf numFmtId="167" fontId="1" fillId="0" borderId="0" xfId="3" applyNumberFormat="1" applyFont="1" applyFill="1" applyAlignment="1">
      <alignment horizontal="center"/>
    </xf>
    <xf numFmtId="173" fontId="1" fillId="0" borderId="0" xfId="0" applyNumberFormat="1" applyFont="1"/>
    <xf numFmtId="0" fontId="1" fillId="2" borderId="0" xfId="0" applyFont="1" applyFill="1"/>
    <xf numFmtId="173" fontId="1" fillId="4" borderId="23" xfId="0" applyNumberFormat="1" applyFont="1" applyFill="1" applyBorder="1"/>
    <xf numFmtId="41" fontId="1" fillId="4" borderId="33" xfId="0" applyNumberFormat="1" applyFont="1" applyFill="1" applyBorder="1"/>
    <xf numFmtId="41" fontId="1" fillId="4" borderId="34" xfId="0" applyNumberFormat="1" applyFont="1" applyFill="1" applyBorder="1"/>
    <xf numFmtId="41" fontId="1" fillId="4" borderId="35" xfId="0" applyNumberFormat="1" applyFont="1" applyFill="1" applyBorder="1"/>
    <xf numFmtId="41" fontId="1" fillId="4" borderId="6" xfId="0" applyNumberFormat="1" applyFont="1" applyFill="1" applyBorder="1"/>
    <xf numFmtId="167" fontId="1" fillId="4" borderId="0" xfId="1" applyNumberFormat="1" applyFont="1" applyFill="1" applyAlignment="1">
      <alignment horizontal="center"/>
    </xf>
    <xf numFmtId="43" fontId="2" fillId="4" borderId="0" xfId="0" applyNumberFormat="1" applyFont="1" applyFill="1" applyBorder="1"/>
    <xf numFmtId="0" fontId="44" fillId="4" borderId="0" xfId="0" applyFont="1" applyFill="1" applyBorder="1" applyAlignment="1">
      <alignment vertical="center"/>
    </xf>
    <xf numFmtId="0" fontId="44" fillId="4" borderId="0" xfId="0" applyFont="1" applyFill="1" applyBorder="1" applyAlignment="1">
      <alignment horizontal="right"/>
    </xf>
    <xf numFmtId="0" fontId="16" fillId="0" borderId="0" xfId="0" applyFont="1" applyBorder="1" applyAlignment="1">
      <alignment horizontal="center"/>
    </xf>
    <xf numFmtId="0" fontId="42" fillId="0" borderId="0" xfId="0" applyFont="1" applyBorder="1"/>
    <xf numFmtId="0" fontId="16" fillId="0" borderId="0" xfId="0" applyFont="1" applyBorder="1"/>
    <xf numFmtId="43" fontId="16" fillId="0" borderId="0" xfId="1" applyFont="1" applyAlignment="1" applyProtection="1">
      <alignment vertical="center"/>
    </xf>
    <xf numFmtId="49" fontId="1" fillId="4" borderId="0" xfId="1" applyNumberFormat="1" applyFont="1" applyFill="1" applyBorder="1" applyAlignment="1">
      <alignment horizontal="right" vertical="top"/>
    </xf>
    <xf numFmtId="0" fontId="2" fillId="4" borderId="0" xfId="0" applyFont="1" applyFill="1" applyBorder="1" applyAlignment="1">
      <alignment horizontal="left"/>
    </xf>
    <xf numFmtId="43" fontId="2" fillId="4" borderId="36" xfId="0" applyNumberFormat="1" applyFont="1" applyFill="1" applyBorder="1" applyAlignment="1">
      <alignment horizontal="left" wrapText="1"/>
    </xf>
    <xf numFmtId="43" fontId="2" fillId="4" borderId="37" xfId="0" applyNumberFormat="1" applyFont="1" applyFill="1" applyBorder="1" applyAlignment="1">
      <alignment horizontal="left" wrapText="1"/>
    </xf>
    <xf numFmtId="0" fontId="1" fillId="4" borderId="0" xfId="0" applyFont="1" applyFill="1" applyBorder="1" applyAlignment="1">
      <alignment horizontal="center"/>
    </xf>
    <xf numFmtId="0" fontId="4" fillId="4" borderId="0" xfId="0" applyFont="1" applyFill="1" applyBorder="1" applyAlignment="1">
      <alignment horizontal="left" wrapText="1"/>
    </xf>
    <xf numFmtId="49" fontId="4" fillId="4" borderId="0" xfId="1" applyNumberFormat="1" applyFont="1" applyFill="1" applyBorder="1" applyAlignment="1">
      <alignment horizontal="center"/>
    </xf>
    <xf numFmtId="43" fontId="2" fillId="4" borderId="0" xfId="1" applyFont="1" applyFill="1" applyBorder="1" applyAlignment="1">
      <alignment horizontal="center"/>
    </xf>
    <xf numFmtId="0" fontId="2" fillId="4" borderId="0" xfId="0" applyFont="1" applyFill="1" applyBorder="1" applyAlignment="1">
      <alignment horizontal="center"/>
    </xf>
    <xf numFmtId="49" fontId="1" fillId="4" borderId="36" xfId="1" applyNumberFormat="1" applyFont="1" applyFill="1" applyBorder="1" applyAlignment="1">
      <alignment horizontal="center"/>
    </xf>
    <xf numFmtId="43" fontId="2" fillId="4" borderId="0" xfId="1" applyFont="1" applyFill="1" applyBorder="1" applyAlignment="1">
      <alignment horizontal="left"/>
    </xf>
    <xf numFmtId="49" fontId="1" fillId="4" borderId="37" xfId="1" applyNumberFormat="1" applyFont="1" applyFill="1" applyBorder="1" applyAlignment="1">
      <alignment horizontal="center"/>
    </xf>
    <xf numFmtId="0" fontId="1" fillId="4" borderId="36" xfId="0" applyFont="1" applyFill="1" applyBorder="1" applyAlignment="1">
      <alignment horizontal="left" wrapText="1"/>
    </xf>
    <xf numFmtId="43" fontId="4" fillId="4" borderId="6" xfId="1" quotePrefix="1" applyFont="1" applyFill="1" applyBorder="1" applyAlignment="1">
      <alignment horizontal="center" wrapText="1"/>
    </xf>
    <xf numFmtId="43" fontId="4" fillId="4" borderId="6" xfId="1" applyFont="1" applyFill="1" applyBorder="1" applyAlignment="1">
      <alignment horizontal="right" vertical="top"/>
    </xf>
    <xf numFmtId="43" fontId="2" fillId="4" borderId="6" xfId="1" applyFont="1" applyFill="1" applyBorder="1" applyAlignment="1">
      <alignment horizontal="right" vertical="top"/>
    </xf>
    <xf numFmtId="0" fontId="4" fillId="4" borderId="5" xfId="0" applyFont="1" applyFill="1" applyBorder="1" applyAlignment="1">
      <alignment horizontal="center" vertical="center"/>
    </xf>
    <xf numFmtId="43" fontId="4" fillId="4" borderId="5" xfId="1" applyNumberFormat="1" applyFont="1" applyFill="1" applyBorder="1" applyAlignment="1">
      <alignment horizontal="center" vertical="top"/>
    </xf>
    <xf numFmtId="43" fontId="4" fillId="4" borderId="5" xfId="1" applyFont="1" applyFill="1" applyBorder="1" applyAlignment="1">
      <alignment horizontal="center" vertical="top"/>
    </xf>
    <xf numFmtId="43" fontId="4" fillId="4" borderId="5" xfId="1" applyFont="1" applyFill="1" applyBorder="1" applyAlignment="1">
      <alignment horizontal="right" vertical="top"/>
    </xf>
    <xf numFmtId="0" fontId="4" fillId="4" borderId="2" xfId="0" applyFont="1" applyFill="1" applyBorder="1" applyAlignment="1">
      <alignment horizontal="center" vertical="center"/>
    </xf>
    <xf numFmtId="43" fontId="4" fillId="4" borderId="2" xfId="1" applyNumberFormat="1" applyFont="1" applyFill="1" applyBorder="1" applyAlignment="1">
      <alignment horizontal="center" vertical="top"/>
    </xf>
    <xf numFmtId="43" fontId="4" fillId="4" borderId="2" xfId="1" applyFont="1" applyFill="1" applyBorder="1" applyAlignment="1">
      <alignment horizontal="center" vertical="top"/>
    </xf>
    <xf numFmtId="43" fontId="4" fillId="4" borderId="2" xfId="1" applyFont="1" applyFill="1" applyBorder="1" applyAlignment="1">
      <alignment horizontal="right" vertical="top"/>
    </xf>
    <xf numFmtId="43" fontId="2" fillId="4" borderId="2" xfId="1" applyFont="1" applyFill="1" applyBorder="1" applyAlignment="1">
      <alignment horizontal="left" wrapText="1"/>
    </xf>
    <xf numFmtId="43" fontId="2" fillId="4" borderId="2" xfId="1" applyNumberFormat="1" applyFont="1" applyFill="1" applyBorder="1" applyAlignment="1">
      <alignment horizontal="center" vertical="top"/>
    </xf>
    <xf numFmtId="0" fontId="4" fillId="4" borderId="3" xfId="0" applyFont="1" applyFill="1" applyBorder="1" applyAlignment="1">
      <alignment horizontal="center" vertical="center"/>
    </xf>
    <xf numFmtId="43" fontId="2" fillId="4" borderId="3" xfId="1" applyFont="1" applyFill="1" applyBorder="1" applyAlignment="1">
      <alignment horizontal="left" wrapText="1"/>
    </xf>
    <xf numFmtId="43" fontId="4" fillId="4" borderId="3" xfId="1" applyNumberFormat="1" applyFont="1" applyFill="1" applyBorder="1" applyAlignment="1">
      <alignment horizontal="center" vertical="top"/>
    </xf>
    <xf numFmtId="43" fontId="4" fillId="4" borderId="3" xfId="1" applyFont="1" applyFill="1" applyBorder="1" applyAlignment="1">
      <alignment horizontal="center" vertical="top"/>
    </xf>
    <xf numFmtId="43" fontId="2" fillId="4" borderId="3" xfId="1" applyFont="1" applyFill="1" applyBorder="1" applyAlignment="1">
      <alignment horizontal="right" vertical="top"/>
    </xf>
    <xf numFmtId="43" fontId="4" fillId="4" borderId="2" xfId="1" quotePrefix="1" applyFont="1" applyFill="1" applyBorder="1" applyAlignment="1">
      <alignment wrapText="1"/>
    </xf>
    <xf numFmtId="164" fontId="4" fillId="4" borderId="3" xfId="1" applyNumberFormat="1" applyFont="1" applyFill="1" applyBorder="1" applyAlignment="1">
      <alignment horizontal="right" vertical="justify"/>
    </xf>
    <xf numFmtId="43" fontId="4" fillId="4" borderId="3" xfId="1" applyFont="1" applyFill="1" applyBorder="1" applyAlignment="1">
      <alignment vertical="top"/>
    </xf>
    <xf numFmtId="43" fontId="4" fillId="4" borderId="3" xfId="1" quotePrefix="1" applyFont="1" applyFill="1" applyBorder="1" applyAlignment="1">
      <alignment horizontal="center" wrapText="1"/>
    </xf>
    <xf numFmtId="43" fontId="4" fillId="4" borderId="3" xfId="1" applyNumberFormat="1" applyFont="1" applyFill="1" applyBorder="1" applyAlignment="1">
      <alignment horizontal="right" vertical="top"/>
    </xf>
    <xf numFmtId="164" fontId="4" fillId="4" borderId="5" xfId="1" applyNumberFormat="1" applyFont="1" applyFill="1" applyBorder="1" applyAlignment="1">
      <alignment horizontal="right" vertical="center"/>
    </xf>
    <xf numFmtId="43" fontId="6" fillId="4" borderId="5" xfId="1" applyFont="1" applyFill="1" applyBorder="1" applyAlignment="1">
      <alignment horizontal="center" vertical="center" wrapText="1"/>
    </xf>
    <xf numFmtId="43" fontId="4" fillId="4" borderId="5" xfId="1" applyNumberFormat="1" applyFont="1" applyFill="1" applyBorder="1" applyAlignment="1">
      <alignment horizontal="right" vertical="top"/>
    </xf>
    <xf numFmtId="43" fontId="4" fillId="4" borderId="5" xfId="1" applyFont="1" applyFill="1" applyBorder="1" applyAlignment="1">
      <alignment vertical="top"/>
    </xf>
    <xf numFmtId="43" fontId="1" fillId="4" borderId="5" xfId="1" applyFont="1" applyFill="1" applyBorder="1" applyAlignment="1">
      <alignment horizontal="right" vertical="top"/>
    </xf>
    <xf numFmtId="164" fontId="4" fillId="4" borderId="2" xfId="1" applyNumberFormat="1" applyFont="1" applyFill="1" applyBorder="1" applyAlignment="1">
      <alignment horizontal="right" vertical="center"/>
    </xf>
    <xf numFmtId="43" fontId="6" fillId="4" borderId="2" xfId="1" applyFont="1" applyFill="1" applyBorder="1" applyAlignment="1">
      <alignment horizontal="justify" vertical="center" wrapText="1"/>
    </xf>
    <xf numFmtId="164" fontId="2" fillId="4" borderId="2" xfId="1" applyNumberFormat="1" applyFont="1" applyFill="1" applyBorder="1" applyAlignment="1">
      <alignment horizontal="right" vertical="center"/>
    </xf>
    <xf numFmtId="43" fontId="15" fillId="4" borderId="2" xfId="1" applyFont="1" applyFill="1" applyBorder="1" applyAlignment="1">
      <alignment horizontal="justify" vertical="center" wrapText="1"/>
    </xf>
    <xf numFmtId="43" fontId="2" fillId="4" borderId="2" xfId="1" applyFont="1" applyFill="1" applyBorder="1" applyAlignment="1">
      <alignment horizontal="justify" vertical="center" wrapText="1"/>
    </xf>
    <xf numFmtId="43" fontId="0" fillId="4" borderId="2" xfId="1" applyFont="1" applyFill="1" applyBorder="1" applyAlignment="1">
      <alignment vertical="top"/>
    </xf>
    <xf numFmtId="43" fontId="1" fillId="4" borderId="2" xfId="1" applyFont="1" applyFill="1" applyBorder="1" applyAlignment="1">
      <alignment horizontal="justify" vertical="center" wrapText="1"/>
    </xf>
    <xf numFmtId="166" fontId="2" fillId="4" borderId="2" xfId="1" applyNumberFormat="1" applyFont="1" applyFill="1" applyBorder="1" applyAlignment="1">
      <alignment horizontal="right" vertical="center"/>
    </xf>
    <xf numFmtId="43" fontId="1" fillId="4" borderId="2" xfId="1" quotePrefix="1" applyFont="1" applyFill="1" applyBorder="1" applyAlignment="1">
      <alignment horizontal="left" vertical="center" wrapText="1"/>
    </xf>
    <xf numFmtId="43" fontId="4" fillId="4" borderId="2" xfId="1" applyNumberFormat="1" applyFont="1" applyFill="1" applyBorder="1" applyAlignment="1">
      <alignment horizontal="right" vertical="top"/>
    </xf>
    <xf numFmtId="43" fontId="4" fillId="4" borderId="2" xfId="1" applyFont="1" applyFill="1" applyBorder="1" applyAlignment="1">
      <alignment vertical="top"/>
    </xf>
    <xf numFmtId="164" fontId="24" fillId="4" borderId="2" xfId="1" applyNumberFormat="1" applyFont="1" applyFill="1" applyBorder="1" applyAlignment="1">
      <alignment horizontal="right" vertical="center"/>
    </xf>
    <xf numFmtId="166" fontId="15" fillId="4" borderId="2" xfId="1" applyNumberFormat="1" applyFont="1" applyFill="1" applyBorder="1" applyAlignment="1">
      <alignment horizontal="right" vertical="center"/>
    </xf>
    <xf numFmtId="43" fontId="15" fillId="4" borderId="2" xfId="1" applyFont="1" applyFill="1" applyBorder="1" applyAlignment="1">
      <alignment horizontal="left" vertical="center" wrapText="1"/>
    </xf>
    <xf numFmtId="43" fontId="2" fillId="4" borderId="2" xfId="1" applyFont="1" applyFill="1" applyBorder="1" applyAlignment="1">
      <alignment horizontal="left" vertical="center" wrapText="1"/>
    </xf>
    <xf numFmtId="166" fontId="2" fillId="4" borderId="3" xfId="1" applyNumberFormat="1" applyFont="1" applyFill="1" applyBorder="1" applyAlignment="1">
      <alignment horizontal="right" vertical="justify"/>
    </xf>
    <xf numFmtId="43" fontId="2" fillId="4" borderId="3" xfId="1" applyFont="1" applyFill="1" applyBorder="1" applyAlignment="1">
      <alignment horizontal="justify" vertical="top" wrapText="1"/>
    </xf>
    <xf numFmtId="43" fontId="2" fillId="4" borderId="3" xfId="1" applyNumberFormat="1" applyFont="1" applyFill="1" applyBorder="1" applyAlignment="1">
      <alignment horizontal="right" vertical="top"/>
    </xf>
    <xf numFmtId="43" fontId="2" fillId="4" borderId="3" xfId="1" applyFont="1" applyFill="1" applyBorder="1" applyAlignment="1">
      <alignment horizontal="center" vertical="top"/>
    </xf>
    <xf numFmtId="43" fontId="4" fillId="4" borderId="5" xfId="1" quotePrefix="1" applyFont="1" applyFill="1" applyBorder="1" applyAlignment="1">
      <alignment wrapText="1"/>
    </xf>
    <xf numFmtId="43" fontId="2" fillId="4" borderId="5" xfId="1" applyNumberFormat="1" applyFont="1" applyFill="1" applyBorder="1" applyAlignment="1">
      <alignment vertical="top"/>
    </xf>
    <xf numFmtId="43" fontId="4" fillId="4" borderId="3" xfId="1" applyFont="1" applyFill="1" applyBorder="1" applyAlignment="1">
      <alignment horizontal="right" vertical="top"/>
    </xf>
    <xf numFmtId="164" fontId="4" fillId="4" borderId="6" xfId="1" applyNumberFormat="1" applyFont="1" applyFill="1" applyBorder="1" applyAlignment="1">
      <alignment horizontal="right" vertical="justify"/>
    </xf>
    <xf numFmtId="43" fontId="4" fillId="4" borderId="6" xfId="1" applyNumberFormat="1" applyFont="1" applyFill="1" applyBorder="1" applyAlignment="1">
      <alignment horizontal="right" vertical="top"/>
    </xf>
    <xf numFmtId="164" fontId="4" fillId="4" borderId="5" xfId="1" applyNumberFormat="1" applyFont="1" applyFill="1" applyBorder="1" applyAlignment="1">
      <alignment horizontal="right" vertical="justify"/>
    </xf>
    <xf numFmtId="43" fontId="1" fillId="4" borderId="2" xfId="1" applyFont="1" applyFill="1" applyBorder="1" applyAlignment="1">
      <alignment horizontal="justify" vertical="top" wrapText="1"/>
    </xf>
    <xf numFmtId="166" fontId="1" fillId="4" borderId="2" xfId="1" applyNumberFormat="1" applyFont="1" applyFill="1" applyBorder="1" applyAlignment="1">
      <alignment horizontal="right" vertical="justify"/>
    </xf>
    <xf numFmtId="164" fontId="4" fillId="4" borderId="2" xfId="1" quotePrefix="1" applyNumberFormat="1" applyFont="1" applyFill="1" applyBorder="1" applyAlignment="1">
      <alignment horizontal="right"/>
    </xf>
    <xf numFmtId="43" fontId="6" fillId="4" borderId="2" xfId="1" applyFont="1" applyFill="1" applyBorder="1" applyAlignment="1">
      <alignment horizontal="left" vertical="top" wrapText="1"/>
    </xf>
    <xf numFmtId="43" fontId="2" fillId="4" borderId="2" xfId="1" quotePrefix="1" applyFont="1" applyFill="1" applyBorder="1" applyAlignment="1">
      <alignment horizontal="justify" vertical="top" wrapText="1"/>
    </xf>
    <xf numFmtId="43" fontId="1" fillId="4" borderId="2" xfId="1" quotePrefix="1" applyFont="1" applyFill="1" applyBorder="1" applyAlignment="1">
      <alignment horizontal="left" vertical="top" wrapText="1"/>
    </xf>
    <xf numFmtId="164" fontId="1" fillId="4" borderId="2" xfId="1" applyNumberFormat="1" applyFont="1" applyFill="1" applyBorder="1" applyAlignment="1">
      <alignment horizontal="right" vertical="top"/>
    </xf>
    <xf numFmtId="43" fontId="2" fillId="4" borderId="2" xfId="1" applyFont="1" applyFill="1" applyBorder="1"/>
    <xf numFmtId="2" fontId="2" fillId="4" borderId="2" xfId="1" applyNumberFormat="1" applyFont="1" applyFill="1" applyBorder="1" applyAlignment="1">
      <alignment horizontal="right" vertical="justify"/>
    </xf>
    <xf numFmtId="2" fontId="2" fillId="4" borderId="2" xfId="1" applyNumberFormat="1" applyFont="1" applyFill="1" applyBorder="1" applyAlignment="1">
      <alignment horizontal="right" vertical="top"/>
    </xf>
    <xf numFmtId="43" fontId="37" fillId="4" borderId="2" xfId="1" applyFont="1" applyFill="1" applyBorder="1" applyAlignment="1">
      <alignment vertical="top"/>
    </xf>
    <xf numFmtId="43" fontId="1" fillId="4" borderId="2" xfId="1" applyFont="1" applyFill="1" applyBorder="1" applyAlignment="1">
      <alignment horizontal="right" wrapText="1"/>
    </xf>
    <xf numFmtId="43" fontId="2" fillId="4" borderId="2" xfId="1" applyFont="1" applyFill="1" applyBorder="1" applyAlignment="1">
      <alignment horizontal="right" vertical="top" wrapText="1"/>
    </xf>
    <xf numFmtId="43" fontId="6" fillId="4" borderId="2" xfId="1" applyNumberFormat="1" applyFont="1" applyFill="1" applyBorder="1" applyAlignment="1">
      <alignment horizontal="justify" vertical="top" wrapText="1"/>
    </xf>
    <xf numFmtId="43" fontId="1" fillId="4" borderId="2" xfId="1" applyFont="1" applyFill="1" applyBorder="1" applyAlignment="1">
      <alignment horizontal="right" vertical="top" wrapText="1"/>
    </xf>
    <xf numFmtId="43" fontId="2" fillId="4" borderId="2" xfId="1" applyFont="1" applyFill="1" applyBorder="1" applyAlignment="1">
      <alignment horizontal="right" wrapText="1"/>
    </xf>
    <xf numFmtId="168" fontId="2" fillId="4" borderId="2" xfId="1" applyNumberFormat="1" applyFont="1" applyFill="1" applyBorder="1" applyAlignment="1">
      <alignment horizontal="right" vertical="top"/>
    </xf>
    <xf numFmtId="43" fontId="1" fillId="4" borderId="3" xfId="1" applyFont="1" applyFill="1" applyBorder="1" applyAlignment="1">
      <alignment horizontal="left" vertical="top" wrapText="1"/>
    </xf>
    <xf numFmtId="43" fontId="4" fillId="4" borderId="5" xfId="1" applyNumberFormat="1" applyFont="1" applyFill="1" applyBorder="1" applyAlignment="1">
      <alignment vertical="top"/>
    </xf>
    <xf numFmtId="164" fontId="2" fillId="4" borderId="6" xfId="1" applyNumberFormat="1" applyFont="1" applyFill="1" applyBorder="1" applyAlignment="1">
      <alignment horizontal="right" vertical="justify"/>
    </xf>
    <xf numFmtId="43" fontId="2" fillId="4" borderId="6" xfId="1" applyNumberFormat="1" applyFont="1" applyFill="1" applyBorder="1" applyAlignment="1">
      <alignment horizontal="right" vertical="top"/>
    </xf>
    <xf numFmtId="43" fontId="2" fillId="4" borderId="6" xfId="1" applyFont="1" applyFill="1" applyBorder="1" applyAlignment="1">
      <alignment horizontal="center" vertical="top"/>
    </xf>
    <xf numFmtId="43" fontId="11" fillId="4" borderId="2" xfId="1" applyFont="1" applyFill="1" applyBorder="1" applyAlignment="1" applyProtection="1">
      <alignment horizontal="justify"/>
    </xf>
    <xf numFmtId="43" fontId="11" fillId="4" borderId="2" xfId="1" applyFont="1" applyFill="1" applyBorder="1" applyProtection="1"/>
    <xf numFmtId="43" fontId="2" fillId="4" borderId="6" xfId="1" applyFont="1" applyFill="1" applyBorder="1" applyAlignment="1">
      <alignment vertical="top"/>
    </xf>
    <xf numFmtId="43" fontId="4" fillId="4" borderId="6" xfId="1" applyFont="1" applyFill="1" applyBorder="1" applyAlignment="1">
      <alignment horizontal="center" wrapText="1"/>
    </xf>
    <xf numFmtId="164" fontId="39" fillId="4" borderId="2" xfId="1" applyNumberFormat="1" applyFont="1" applyFill="1" applyBorder="1" applyAlignment="1" applyProtection="1">
      <alignment horizontal="right" vertical="justify"/>
    </xf>
    <xf numFmtId="0" fontId="11" fillId="4" borderId="2" xfId="1" applyNumberFormat="1" applyFont="1" applyFill="1" applyBorder="1" applyAlignment="1" applyProtection="1">
      <alignment horizontal="left"/>
    </xf>
    <xf numFmtId="43" fontId="10" fillId="4" borderId="2" xfId="1" applyNumberFormat="1" applyFont="1" applyFill="1" applyBorder="1" applyAlignment="1" applyProtection="1">
      <alignment horizontal="center" vertical="top"/>
    </xf>
    <xf numFmtId="43" fontId="10" fillId="4" borderId="2" xfId="1" applyFont="1" applyFill="1" applyBorder="1" applyAlignment="1" applyProtection="1">
      <alignment horizontal="center" vertical="top"/>
    </xf>
    <xf numFmtId="164" fontId="10" fillId="4" borderId="2" xfId="1" applyNumberFormat="1" applyFont="1" applyFill="1" applyBorder="1" applyAlignment="1" applyProtection="1">
      <alignment horizontal="right" vertical="justify"/>
    </xf>
    <xf numFmtId="0" fontId="1" fillId="4" borderId="2" xfId="0" applyFont="1" applyFill="1" applyBorder="1" applyAlignment="1">
      <alignment wrapText="1"/>
    </xf>
    <xf numFmtId="43" fontId="10" fillId="4" borderId="2" xfId="1" applyFont="1" applyFill="1" applyBorder="1" applyProtection="1"/>
    <xf numFmtId="0" fontId="4" fillId="4" borderId="2" xfId="0" applyFont="1" applyFill="1" applyBorder="1" applyAlignment="1">
      <alignment horizontal="right"/>
    </xf>
    <xf numFmtId="0" fontId="6" fillId="4" borderId="2" xfId="0" applyFont="1" applyFill="1" applyBorder="1"/>
    <xf numFmtId="43" fontId="28" fillId="4" borderId="2" xfId="1" applyNumberFormat="1" applyFont="1" applyFill="1" applyBorder="1" applyAlignment="1">
      <alignment vertical="top"/>
    </xf>
    <xf numFmtId="0" fontId="28" fillId="4" borderId="2" xfId="0" applyFont="1" applyFill="1" applyBorder="1" applyAlignment="1">
      <alignment horizontal="center" vertical="top"/>
    </xf>
    <xf numFmtId="43" fontId="28" fillId="4" borderId="2" xfId="1" applyFont="1" applyFill="1" applyBorder="1" applyAlignment="1">
      <alignment horizontal="right" vertical="top"/>
    </xf>
    <xf numFmtId="166" fontId="10" fillId="4" borderId="2" xfId="1" applyNumberFormat="1" applyFont="1" applyFill="1" applyBorder="1" applyAlignment="1" applyProtection="1">
      <alignment horizontal="right" vertical="justify"/>
    </xf>
    <xf numFmtId="0" fontId="1" fillId="4" borderId="2" xfId="0" applyFont="1" applyFill="1" applyBorder="1"/>
    <xf numFmtId="43" fontId="28" fillId="4" borderId="2" xfId="1" applyNumberFormat="1" applyFont="1" applyFill="1" applyBorder="1" applyAlignment="1">
      <alignment horizontal="right" vertical="top"/>
    </xf>
    <xf numFmtId="49" fontId="1" fillId="4" borderId="2" xfId="0" applyNumberFormat="1" applyFont="1" applyFill="1" applyBorder="1" applyAlignment="1">
      <alignment horizontal="right"/>
    </xf>
    <xf numFmtId="166" fontId="10" fillId="4" borderId="2" xfId="1" applyNumberFormat="1" applyFont="1" applyFill="1" applyBorder="1" applyAlignment="1" applyProtection="1">
      <alignment horizontal="right" vertical="top" wrapText="1"/>
    </xf>
    <xf numFmtId="43" fontId="1" fillId="4" borderId="2" xfId="1" applyFont="1" applyFill="1" applyBorder="1" applyAlignment="1" applyProtection="1">
      <alignment horizontal="left" wrapText="1"/>
    </xf>
    <xf numFmtId="4" fontId="1" fillId="4" borderId="2" xfId="0" applyNumberFormat="1" applyFont="1" applyFill="1" applyBorder="1" applyAlignment="1">
      <alignment horizontal="center" vertical="top"/>
    </xf>
    <xf numFmtId="0" fontId="28" fillId="4" borderId="2" xfId="0" applyFont="1" applyFill="1" applyBorder="1"/>
    <xf numFmtId="43" fontId="28" fillId="4" borderId="2" xfId="0" applyNumberFormat="1" applyFont="1" applyFill="1" applyBorder="1" applyAlignment="1">
      <alignment vertical="top"/>
    </xf>
    <xf numFmtId="0" fontId="1" fillId="4" borderId="2" xfId="1" applyNumberFormat="1" applyFont="1" applyFill="1" applyBorder="1" applyAlignment="1" applyProtection="1">
      <alignment horizontal="justify"/>
    </xf>
    <xf numFmtId="0" fontId="28" fillId="4" borderId="2" xfId="0" applyFont="1" applyFill="1" applyBorder="1" applyAlignment="1">
      <alignment vertical="top"/>
    </xf>
    <xf numFmtId="43" fontId="28" fillId="4" borderId="2" xfId="1" applyFont="1" applyFill="1" applyBorder="1" applyAlignment="1">
      <alignment vertical="top"/>
    </xf>
    <xf numFmtId="164" fontId="4" fillId="4" borderId="2" xfId="1" applyNumberFormat="1" applyFont="1" applyFill="1" applyBorder="1" applyAlignment="1" applyProtection="1">
      <alignment horizontal="right" vertical="justify"/>
    </xf>
    <xf numFmtId="0" fontId="6" fillId="4" borderId="2" xfId="1" applyNumberFormat="1" applyFont="1" applyFill="1" applyBorder="1" applyAlignment="1" applyProtection="1">
      <alignment horizontal="justify"/>
    </xf>
    <xf numFmtId="0" fontId="1" fillId="4" borderId="2" xfId="0" applyFont="1" applyFill="1" applyBorder="1" applyAlignment="1">
      <alignment horizontal="right"/>
    </xf>
    <xf numFmtId="0" fontId="1" fillId="4" borderId="2" xfId="0" applyFont="1" applyFill="1" applyBorder="1" applyAlignment="1">
      <alignment vertical="center" wrapText="1"/>
    </xf>
    <xf numFmtId="43" fontId="1" fillId="4" borderId="3" xfId="1" applyFont="1" applyFill="1" applyBorder="1" applyAlignment="1">
      <alignment horizontal="left" wrapText="1"/>
    </xf>
    <xf numFmtId="0" fontId="11" fillId="4" borderId="2" xfId="1" applyNumberFormat="1" applyFont="1" applyFill="1" applyBorder="1" applyAlignment="1" applyProtection="1">
      <alignment horizontal="justify"/>
    </xf>
    <xf numFmtId="0" fontId="23" fillId="4" borderId="2" xfId="1" applyNumberFormat="1" applyFont="1" applyFill="1" applyBorder="1" applyAlignment="1" applyProtection="1">
      <alignment horizontal="justify"/>
    </xf>
    <xf numFmtId="43" fontId="23" fillId="4" borderId="2" xfId="1" applyFont="1" applyFill="1" applyBorder="1" applyAlignment="1" applyProtection="1">
      <alignment horizontal="justify" vertical="justify" wrapText="1"/>
    </xf>
    <xf numFmtId="43" fontId="23" fillId="4" borderId="2" xfId="1" applyFont="1" applyFill="1" applyBorder="1" applyAlignment="1" applyProtection="1">
      <alignment horizontal="justify" vertical="top"/>
    </xf>
    <xf numFmtId="164" fontId="1" fillId="4" borderId="6" xfId="1" applyNumberFormat="1" applyFont="1" applyFill="1" applyBorder="1" applyAlignment="1">
      <alignment horizontal="right" vertical="justify"/>
    </xf>
    <xf numFmtId="43" fontId="1" fillId="4" borderId="6" xfId="1" applyNumberFormat="1" applyFont="1" applyFill="1" applyBorder="1" applyAlignment="1">
      <alignment horizontal="right" vertical="top"/>
    </xf>
    <xf numFmtId="43" fontId="1" fillId="4" borderId="6" xfId="1" applyFont="1" applyFill="1" applyBorder="1" applyAlignment="1">
      <alignment vertical="top"/>
    </xf>
    <xf numFmtId="43" fontId="1" fillId="4" borderId="6" xfId="1" applyFont="1" applyFill="1" applyBorder="1" applyAlignment="1">
      <alignment horizontal="right" vertical="top"/>
    </xf>
    <xf numFmtId="164" fontId="1" fillId="4" borderId="5" xfId="1" applyNumberFormat="1" applyFont="1" applyFill="1" applyBorder="1" applyAlignment="1">
      <alignment horizontal="right" vertical="justify"/>
    </xf>
    <xf numFmtId="43" fontId="1" fillId="4" borderId="5" xfId="1" applyNumberFormat="1" applyFont="1" applyFill="1" applyBorder="1" applyAlignment="1">
      <alignment horizontal="right" vertical="top"/>
    </xf>
    <xf numFmtId="43" fontId="1" fillId="4" borderId="5" xfId="1" applyFont="1" applyFill="1" applyBorder="1" applyAlignment="1">
      <alignment vertical="top"/>
    </xf>
    <xf numFmtId="43" fontId="1" fillId="4" borderId="2" xfId="1" applyFont="1" applyFill="1" applyBorder="1" applyAlignment="1">
      <alignment vertical="top"/>
    </xf>
    <xf numFmtId="43" fontId="1" fillId="4" borderId="2" xfId="1" quotePrefix="1" applyFont="1" applyFill="1" applyBorder="1" applyAlignment="1">
      <alignment horizontal="justify" wrapText="1"/>
    </xf>
    <xf numFmtId="164" fontId="4" fillId="4" borderId="2" xfId="1" applyNumberFormat="1" applyFont="1" applyFill="1" applyBorder="1" applyAlignment="1">
      <alignment horizontal="right" vertical="top"/>
    </xf>
    <xf numFmtId="166" fontId="1" fillId="4" borderId="2" xfId="1" applyNumberFormat="1" applyFont="1" applyFill="1" applyBorder="1" applyAlignment="1" applyProtection="1">
      <alignment horizontal="right" vertical="justify"/>
    </xf>
    <xf numFmtId="0" fontId="10" fillId="4" borderId="2" xfId="1" applyNumberFormat="1" applyFont="1" applyFill="1" applyBorder="1" applyAlignment="1" applyProtection="1">
      <alignment horizontal="justify"/>
    </xf>
    <xf numFmtId="166" fontId="2" fillId="4" borderId="3" xfId="1" applyNumberFormat="1" applyFont="1" applyFill="1" applyBorder="1" applyAlignment="1">
      <alignment horizontal="right" vertical="center"/>
    </xf>
    <xf numFmtId="43" fontId="2" fillId="4" borderId="3" xfId="1" applyFont="1" applyFill="1" applyBorder="1" applyAlignment="1">
      <alignment horizontal="justify" wrapText="1"/>
    </xf>
    <xf numFmtId="43" fontId="4" fillId="4" borderId="5" xfId="1" applyFont="1" applyFill="1" applyBorder="1" applyAlignment="1">
      <alignment wrapText="1"/>
    </xf>
    <xf numFmtId="43" fontId="2" fillId="4" borderId="2" xfId="1" applyFont="1" applyFill="1" applyBorder="1" applyAlignment="1">
      <alignment wrapText="1"/>
    </xf>
    <xf numFmtId="43" fontId="4" fillId="4" borderId="2" xfId="1" applyFont="1" applyFill="1" applyBorder="1" applyAlignment="1">
      <alignment vertical="top" wrapText="1"/>
    </xf>
    <xf numFmtId="164" fontId="1" fillId="4" borderId="2" xfId="1" applyNumberFormat="1" applyFont="1" applyFill="1" applyBorder="1" applyAlignment="1">
      <alignment horizontal="right"/>
    </xf>
    <xf numFmtId="0" fontId="25" fillId="4" borderId="2" xfId="0" applyFont="1" applyFill="1" applyBorder="1" applyAlignment="1">
      <alignment horizontal="justify" readingOrder="1"/>
    </xf>
    <xf numFmtId="43" fontId="2" fillId="4" borderId="2" xfId="1" applyFont="1" applyFill="1" applyBorder="1" applyAlignment="1">
      <alignment vertical="top" wrapText="1"/>
    </xf>
    <xf numFmtId="166" fontId="1" fillId="4" borderId="2" xfId="1" applyNumberFormat="1" applyFont="1" applyFill="1" applyBorder="1" applyAlignment="1">
      <alignment horizontal="right" vertical="top"/>
    </xf>
    <xf numFmtId="43" fontId="1" fillId="4" borderId="2" xfId="1" applyFont="1" applyFill="1" applyBorder="1" applyAlignment="1">
      <alignment horizontal="justify" vertical="justify" wrapText="1"/>
    </xf>
    <xf numFmtId="43" fontId="2" fillId="4" borderId="2" xfId="1" applyFont="1" applyFill="1" applyBorder="1" applyAlignment="1">
      <alignment horizontal="justify" vertical="justify" wrapText="1"/>
    </xf>
    <xf numFmtId="166" fontId="2" fillId="4" borderId="2" xfId="1" applyNumberFormat="1" applyFont="1" applyFill="1" applyBorder="1" applyAlignment="1">
      <alignment vertical="justify"/>
    </xf>
    <xf numFmtId="43" fontId="1" fillId="4" borderId="2" xfId="1" applyFont="1" applyFill="1" applyBorder="1" applyAlignment="1">
      <alignment vertical="top" wrapText="1"/>
    </xf>
    <xf numFmtId="43" fontId="1" fillId="4" borderId="2" xfId="1" applyFont="1" applyFill="1" applyBorder="1" applyAlignment="1">
      <alignment wrapText="1"/>
    </xf>
    <xf numFmtId="43" fontId="38" fillId="3" borderId="2" xfId="1" applyFont="1" applyFill="1" applyBorder="1" applyAlignment="1">
      <alignment horizontal="justify" wrapText="1"/>
    </xf>
    <xf numFmtId="43" fontId="1" fillId="4" borderId="2" xfId="1" applyFont="1" applyFill="1" applyBorder="1"/>
    <xf numFmtId="43" fontId="38" fillId="3" borderId="2" xfId="2" applyFont="1" applyFill="1" applyBorder="1" applyAlignment="1">
      <alignment horizontal="justify" wrapText="1"/>
    </xf>
    <xf numFmtId="164" fontId="2" fillId="4" borderId="3" xfId="1" applyNumberFormat="1" applyFont="1" applyFill="1" applyBorder="1" applyAlignment="1">
      <alignment horizontal="right" vertical="justify"/>
    </xf>
    <xf numFmtId="164" fontId="4" fillId="4" borderId="2" xfId="1" quotePrefix="1" applyNumberFormat="1" applyFont="1" applyFill="1" applyBorder="1" applyAlignment="1">
      <alignment horizontal="right" vertical="justify"/>
    </xf>
    <xf numFmtId="43" fontId="1" fillId="4" borderId="2" xfId="1" applyNumberFormat="1" applyFont="1" applyFill="1" applyBorder="1" applyAlignment="1">
      <alignment vertical="top"/>
    </xf>
    <xf numFmtId="43" fontId="2" fillId="4" borderId="3" xfId="1" applyFont="1" applyFill="1" applyBorder="1" applyAlignment="1">
      <alignment vertical="top"/>
    </xf>
    <xf numFmtId="43" fontId="6" fillId="4" borderId="5" xfId="1" applyFont="1" applyFill="1" applyBorder="1" applyAlignment="1">
      <alignment horizontal="centerContinuous" wrapText="1"/>
    </xf>
    <xf numFmtId="0" fontId="1" fillId="4" borderId="2" xfId="1" applyNumberFormat="1" applyFont="1" applyFill="1" applyBorder="1" applyAlignment="1" applyProtection="1">
      <alignment horizontal="justify" vertical="top"/>
    </xf>
    <xf numFmtId="0" fontId="6" fillId="4" borderId="2" xfId="1" applyNumberFormat="1" applyFont="1" applyFill="1" applyBorder="1" applyAlignment="1" applyProtection="1">
      <alignment horizontal="justify" vertical="top"/>
    </xf>
    <xf numFmtId="0" fontId="36" fillId="4" borderId="2" xfId="1" applyNumberFormat="1" applyFont="1" applyFill="1" applyBorder="1" applyAlignment="1" applyProtection="1">
      <alignment horizontal="justify" vertical="top"/>
    </xf>
    <xf numFmtId="166" fontId="1" fillId="4" borderId="3" xfId="1" applyNumberFormat="1" applyFont="1" applyFill="1" applyBorder="1" applyAlignment="1">
      <alignment horizontal="right" vertical="justify"/>
    </xf>
    <xf numFmtId="43" fontId="1" fillId="4" borderId="3" xfId="1" applyFont="1" applyFill="1" applyBorder="1" applyAlignment="1">
      <alignment horizontal="justify" wrapText="1"/>
    </xf>
    <xf numFmtId="43" fontId="1" fillId="4" borderId="3" xfId="1" applyNumberFormat="1" applyFont="1" applyFill="1" applyBorder="1" applyAlignment="1">
      <alignment horizontal="right" vertical="top"/>
    </xf>
    <xf numFmtId="43" fontId="1" fillId="4" borderId="3" xfId="1" applyFont="1" applyFill="1" applyBorder="1" applyAlignment="1">
      <alignment horizontal="center" vertical="top"/>
    </xf>
    <xf numFmtId="43" fontId="1" fillId="4" borderId="3" xfId="1" applyFont="1" applyFill="1" applyBorder="1" applyAlignment="1">
      <alignment horizontal="right" vertical="top"/>
    </xf>
    <xf numFmtId="43" fontId="1" fillId="4" borderId="5" xfId="1" applyFont="1" applyFill="1" applyBorder="1" applyAlignment="1">
      <alignment horizontal="center" vertical="top"/>
    </xf>
    <xf numFmtId="0" fontId="46" fillId="0" borderId="2" xfId="0" applyFont="1" applyBorder="1" applyAlignment="1">
      <alignment horizontal="left" wrapText="1"/>
    </xf>
    <xf numFmtId="0" fontId="47" fillId="0" borderId="2" xfId="0" applyFont="1" applyBorder="1"/>
    <xf numFmtId="49" fontId="3" fillId="4" borderId="2" xfId="1" applyNumberFormat="1" applyFont="1" applyFill="1" applyBorder="1" applyAlignment="1">
      <alignment horizontal="left" vertical="top" wrapText="1"/>
    </xf>
    <xf numFmtId="43" fontId="8" fillId="4" borderId="9" xfId="1" applyFont="1" applyFill="1" applyBorder="1" applyAlignment="1">
      <alignment horizontal="center"/>
    </xf>
    <xf numFmtId="43" fontId="8" fillId="4" borderId="0" xfId="1" applyFont="1" applyFill="1" applyBorder="1" applyAlignment="1">
      <alignment horizontal="center"/>
    </xf>
    <xf numFmtId="43" fontId="8" fillId="4" borderId="11" xfId="1" applyFont="1" applyFill="1" applyBorder="1" applyAlignment="1">
      <alignment horizontal="center"/>
    </xf>
    <xf numFmtId="43" fontId="4" fillId="4" borderId="13" xfId="1" applyFont="1" applyFill="1" applyBorder="1" applyAlignment="1">
      <alignment horizontal="center"/>
    </xf>
    <xf numFmtId="43" fontId="4" fillId="4" borderId="4" xfId="1" applyFont="1" applyFill="1" applyBorder="1" applyAlignment="1">
      <alignment horizontal="center"/>
    </xf>
    <xf numFmtId="43" fontId="4" fillId="4" borderId="14" xfId="1" applyFont="1" applyFill="1" applyBorder="1" applyAlignment="1">
      <alignment horizontal="center"/>
    </xf>
    <xf numFmtId="43" fontId="0" fillId="4" borderId="8" xfId="1" applyFont="1" applyFill="1" applyBorder="1" applyAlignment="1">
      <alignment horizontal="center"/>
    </xf>
    <xf numFmtId="43" fontId="0" fillId="4" borderId="15" xfId="1" applyFont="1" applyFill="1" applyBorder="1" applyAlignment="1">
      <alignment horizontal="center"/>
    </xf>
    <xf numFmtId="43" fontId="1" fillId="4" borderId="9" xfId="1" applyFont="1" applyFill="1" applyBorder="1" applyAlignment="1">
      <alignment horizontal="center"/>
    </xf>
    <xf numFmtId="43" fontId="0" fillId="4" borderId="0" xfId="1" applyFont="1" applyFill="1" applyBorder="1" applyAlignment="1">
      <alignment horizontal="center"/>
    </xf>
    <xf numFmtId="43" fontId="0" fillId="4" borderId="11" xfId="1" applyFont="1" applyFill="1" applyBorder="1" applyAlignment="1">
      <alignment horizontal="center"/>
    </xf>
    <xf numFmtId="43" fontId="8" fillId="4" borderId="4" xfId="1" applyFont="1" applyFill="1" applyBorder="1" applyAlignment="1">
      <alignment horizontal="center"/>
    </xf>
    <xf numFmtId="43" fontId="8" fillId="4" borderId="14" xfId="1" applyFont="1" applyFill="1" applyBorder="1" applyAlignment="1">
      <alignment horizontal="center"/>
    </xf>
    <xf numFmtId="0" fontId="17" fillId="2" borderId="0" xfId="0" applyFont="1" applyFill="1" applyBorder="1" applyAlignment="1" applyProtection="1">
      <alignment horizontal="center" vertical="center" wrapText="1"/>
    </xf>
    <xf numFmtId="43" fontId="26" fillId="0" borderId="6" xfId="1" applyFont="1" applyFill="1" applyBorder="1" applyAlignment="1">
      <alignment horizontal="right" wrapText="1"/>
    </xf>
    <xf numFmtId="43" fontId="48" fillId="3" borderId="0" xfId="1" applyFont="1" applyFill="1" applyBorder="1" applyAlignment="1">
      <alignment horizontal="center" vertical="center" wrapText="1"/>
    </xf>
    <xf numFmtId="0" fontId="18" fillId="2" borderId="0" xfId="0" applyFont="1" applyFill="1" applyBorder="1" applyAlignment="1" applyProtection="1">
      <alignment horizontal="left" vertical="center"/>
    </xf>
    <xf numFmtId="43" fontId="4" fillId="4" borderId="3" xfId="1" quotePrefix="1" applyFont="1" applyFill="1" applyBorder="1" applyAlignment="1">
      <alignment horizontal="left" wrapText="1"/>
    </xf>
    <xf numFmtId="43" fontId="4" fillId="4" borderId="5" xfId="1" quotePrefix="1" applyFont="1" applyFill="1" applyBorder="1" applyAlignment="1">
      <alignment horizontal="center" wrapText="1"/>
    </xf>
    <xf numFmtId="43" fontId="4" fillId="4" borderId="3" xfId="1" quotePrefix="1" applyFont="1" applyFill="1" applyBorder="1" applyAlignment="1">
      <alignment wrapText="1"/>
    </xf>
    <xf numFmtId="43" fontId="4" fillId="4" borderId="5" xfId="1" quotePrefix="1" applyFont="1" applyFill="1" applyBorder="1" applyAlignment="1">
      <alignment horizontal="left" wrapText="1"/>
    </xf>
    <xf numFmtId="43" fontId="2" fillId="4" borderId="2" xfId="1" applyFont="1" applyFill="1" applyBorder="1" applyAlignment="1">
      <alignment horizontal="left" vertical="top" wrapText="1"/>
    </xf>
  </cellXfs>
  <cellStyles count="4">
    <cellStyle name="Comma" xfId="1" builtinId="3"/>
    <cellStyle name="Comma 2" xfId="2"/>
    <cellStyle name="Comma 2 3" xfId="3"/>
    <cellStyle name="Normal" xfId="0" builtinId="0"/>
  </cellStyles>
  <dxfs count="0"/>
  <tableStyles count="0" defaultTableStyle="TableStyleMedium9" defaultPivotStyle="PivotStyleLight16"/>
  <colors>
    <mruColors>
      <color rgb="FFCCCCFF"/>
      <color rgb="FFD3FBE3"/>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E\ABC%20Construction\ADK%20Extension%20-%20Phase%20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ors"/>
      <sheetName val="cal"/>
      <sheetName val="FRONT SHEET"/>
      <sheetName val="SUmmary"/>
      <sheetName val="BOQ "/>
      <sheetName val="Floor Summary"/>
      <sheetName val="Concrete  summary "/>
      <sheetName val="upto 2nd"/>
      <sheetName val="Payment schedule-concrete"/>
      <sheetName val="SUMMARY  final"/>
      <sheetName val="Summary Analize"/>
    </sheetNames>
    <sheetDataSet>
      <sheetData sheetId="0">
        <row r="14">
          <cell r="AB14">
            <v>0</v>
          </cell>
        </row>
      </sheetData>
      <sheetData sheetId="1"/>
      <sheetData sheetId="2"/>
      <sheetData sheetId="3"/>
      <sheetData sheetId="4">
        <row r="43">
          <cell r="B43" t="str">
            <v>PRELIMINARIES</v>
          </cell>
        </row>
      </sheetData>
      <sheetData sheetId="5"/>
      <sheetData sheetId="6">
        <row r="23">
          <cell r="C23">
            <v>15361296.901186867</v>
          </cell>
        </row>
      </sheetData>
      <sheetData sheetId="7"/>
      <sheetData sheetId="8"/>
      <sheetData sheetId="9"/>
      <sheetData sheetId="1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60"/>
  <sheetViews>
    <sheetView workbookViewId="0">
      <pane xSplit="1" ySplit="3" topLeftCell="B34" activePane="bottomRight" state="frozen"/>
      <selection pane="topRight" activeCell="B1" sqref="B1"/>
      <selection pane="bottomLeft" activeCell="A4" sqref="A4"/>
      <selection pane="bottomRight" activeCell="C19" sqref="C19"/>
    </sheetView>
  </sheetViews>
  <sheetFormatPr defaultColWidth="8.85546875" defaultRowHeight="8.25"/>
  <cols>
    <col min="1" max="1" width="22.42578125" style="133" customWidth="1"/>
    <col min="2" max="2" width="6.5703125" style="133" bestFit="1" customWidth="1"/>
    <col min="3" max="4" width="10.28515625" style="133" bestFit="1" customWidth="1"/>
    <col min="5" max="7" width="9.28515625" style="133" bestFit="1" customWidth="1"/>
    <col min="8" max="11" width="10.28515625" style="133" bestFit="1" customWidth="1"/>
    <col min="12" max="13" width="6.42578125" style="133" customWidth="1"/>
    <col min="14" max="14" width="10.85546875" style="133" customWidth="1"/>
    <col min="15" max="15" width="9" style="133" customWidth="1"/>
    <col min="16" max="16" width="11.42578125" style="133" customWidth="1"/>
    <col min="17" max="21" width="11.28515625" style="133" bestFit="1" customWidth="1"/>
    <col min="22" max="22" width="8.42578125" style="133" customWidth="1"/>
    <col min="23" max="23" width="5.85546875" style="133" customWidth="1"/>
    <col min="24" max="24" width="6.42578125" style="133" customWidth="1"/>
    <col min="25" max="25" width="9.42578125" style="141" customWidth="1"/>
    <col min="26" max="26" width="5.7109375" style="133" customWidth="1"/>
    <col min="27" max="27" width="9.140625" style="141" customWidth="1"/>
    <col min="28" max="16384" width="8.85546875" style="133"/>
  </cols>
  <sheetData>
    <row r="1" spans="1:28" ht="12.75">
      <c r="A1" s="132"/>
      <c r="B1" s="132">
        <f>3500*B3</f>
        <v>0</v>
      </c>
      <c r="C1" s="213">
        <f t="shared" ref="C1:E1" si="0">2000*C3</f>
        <v>20344.800000000003</v>
      </c>
      <c r="D1" s="213">
        <f t="shared" si="0"/>
        <v>7098</v>
      </c>
      <c r="E1" s="213">
        <f t="shared" si="0"/>
        <v>6407</v>
      </c>
      <c r="F1" s="213">
        <f t="shared" ref="F1:O1" si="1">2100*F3</f>
        <v>4740.75</v>
      </c>
      <c r="G1" s="213">
        <f t="shared" si="1"/>
        <v>7359.45</v>
      </c>
      <c r="H1" s="213">
        <f t="shared" si="1"/>
        <v>7359.45</v>
      </c>
      <c r="I1" s="213">
        <f t="shared" si="1"/>
        <v>4063.5</v>
      </c>
      <c r="J1" s="213">
        <f t="shared" si="1"/>
        <v>4063.5</v>
      </c>
      <c r="K1" s="213">
        <f t="shared" si="1"/>
        <v>16537.5</v>
      </c>
      <c r="L1" s="213">
        <f t="shared" si="1"/>
        <v>0</v>
      </c>
      <c r="M1" s="213">
        <f t="shared" si="1"/>
        <v>0</v>
      </c>
      <c r="N1" s="213">
        <f t="shared" si="1"/>
        <v>0</v>
      </c>
      <c r="O1" s="213">
        <f t="shared" si="1"/>
        <v>0</v>
      </c>
      <c r="P1" s="132">
        <f t="shared" ref="P1" si="2">2250*P3</f>
        <v>0</v>
      </c>
      <c r="Q1" s="132"/>
      <c r="R1" s="132"/>
      <c r="S1" s="132"/>
      <c r="T1" s="132"/>
      <c r="U1" s="132"/>
      <c r="V1" s="132"/>
      <c r="W1" s="132"/>
      <c r="X1" s="132"/>
      <c r="Y1" s="95"/>
      <c r="Z1" s="132"/>
      <c r="AA1" s="95"/>
      <c r="AB1" s="132"/>
    </row>
    <row r="2" spans="1:28" ht="12.75">
      <c r="A2" s="134" t="s">
        <v>231</v>
      </c>
      <c r="B2" s="135" t="s">
        <v>338</v>
      </c>
      <c r="C2" s="135" t="s">
        <v>215</v>
      </c>
      <c r="D2" s="135" t="s">
        <v>208</v>
      </c>
      <c r="E2" s="135" t="s">
        <v>51</v>
      </c>
      <c r="F2" s="135" t="s">
        <v>52</v>
      </c>
      <c r="G2" s="135" t="s">
        <v>286</v>
      </c>
      <c r="H2" s="135" t="s">
        <v>391</v>
      </c>
      <c r="I2" s="135" t="s">
        <v>394</v>
      </c>
      <c r="J2" s="135" t="s">
        <v>395</v>
      </c>
      <c r="K2" s="135" t="s">
        <v>254</v>
      </c>
      <c r="L2" s="135" t="s">
        <v>334</v>
      </c>
      <c r="M2" s="135" t="s">
        <v>335</v>
      </c>
      <c r="N2" s="135" t="s">
        <v>298</v>
      </c>
      <c r="O2" s="135" t="s">
        <v>299</v>
      </c>
      <c r="Q2" s="128">
        <v>0</v>
      </c>
      <c r="R2" s="128">
        <v>0</v>
      </c>
      <c r="S2" s="128">
        <v>0</v>
      </c>
      <c r="T2" s="128">
        <v>0</v>
      </c>
      <c r="U2" s="128">
        <v>0</v>
      </c>
      <c r="V2" s="128">
        <v>0</v>
      </c>
      <c r="W2" s="128">
        <v>0</v>
      </c>
      <c r="X2" s="128">
        <v>0</v>
      </c>
      <c r="Y2" s="95" t="s">
        <v>216</v>
      </c>
      <c r="Z2" s="132"/>
      <c r="AA2" s="95"/>
      <c r="AB2" s="132"/>
    </row>
    <row r="3" spans="1:28" ht="12.75">
      <c r="A3" s="135"/>
      <c r="B3" s="132"/>
      <c r="C3" s="180">
        <f>4.844*2.1</f>
        <v>10.172400000000001</v>
      </c>
      <c r="D3" s="180">
        <f>1.69*2.1</f>
        <v>3.5489999999999999</v>
      </c>
      <c r="E3" s="180">
        <f>1.49*2.15</f>
        <v>3.2035</v>
      </c>
      <c r="F3" s="180">
        <f>1.05*2.15</f>
        <v>2.2574999999999998</v>
      </c>
      <c r="G3" s="180">
        <f>1.63*2.15</f>
        <v>3.5044999999999997</v>
      </c>
      <c r="H3" s="180">
        <f>1.63*2.15</f>
        <v>3.5044999999999997</v>
      </c>
      <c r="I3" s="180">
        <f>0.9*2.15</f>
        <v>1.9350000000000001</v>
      </c>
      <c r="J3" s="180">
        <f>0.9*2.15</f>
        <v>1.9350000000000001</v>
      </c>
      <c r="K3" s="180">
        <f>3.75*2.1</f>
        <v>7.875</v>
      </c>
      <c r="L3" s="135"/>
      <c r="M3" s="135"/>
      <c r="N3" s="135"/>
      <c r="O3" s="135"/>
      <c r="P3" s="135"/>
      <c r="Q3" s="135"/>
      <c r="R3" s="135"/>
      <c r="S3" s="135"/>
      <c r="T3" s="135"/>
      <c r="U3" s="135"/>
      <c r="V3" s="135"/>
      <c r="W3" s="135"/>
      <c r="X3" s="135"/>
      <c r="Y3" s="95"/>
      <c r="Z3" s="132"/>
      <c r="AA3" s="95"/>
      <c r="AB3" s="132"/>
    </row>
    <row r="4" spans="1:28" ht="12.75">
      <c r="A4" s="135" t="s">
        <v>232</v>
      </c>
      <c r="B4" s="136"/>
      <c r="C4" s="136">
        <v>1</v>
      </c>
      <c r="D4" s="136">
        <v>1</v>
      </c>
      <c r="E4" s="136">
        <v>1</v>
      </c>
      <c r="F4" s="136">
        <v>7</v>
      </c>
      <c r="G4" s="136"/>
      <c r="H4" s="136"/>
      <c r="I4" s="136"/>
      <c r="J4" s="136"/>
      <c r="K4" s="136"/>
      <c r="L4" s="136"/>
      <c r="M4" s="136"/>
      <c r="N4" s="136"/>
      <c r="O4" s="136"/>
      <c r="P4" s="136"/>
      <c r="Q4" s="136"/>
      <c r="R4" s="136"/>
      <c r="S4" s="136"/>
      <c r="T4" s="136"/>
      <c r="U4" s="136"/>
      <c r="V4" s="136"/>
      <c r="W4" s="136"/>
      <c r="X4" s="136"/>
      <c r="Y4" s="95">
        <f>(X4*X3)+(W3*W4)+(V3*V4)+(U3*U4)+(T3*T4)+(S3*S4)+(R3*R4)+(Q3*Q4)+(P3*P4)+(O3*O4)+(N3*N4)+(L3*L4)+(K3*K4)+(J3*J4)+(I3*I4)+(H3*H4)+(G3*G4)+(F3*F4)+(E3*E4)+(D3*D4)+(C3*C4)+(B3*B4)</f>
        <v>32.727400000000003</v>
      </c>
      <c r="Z4" s="132"/>
      <c r="AA4" s="95"/>
      <c r="AB4" s="132"/>
    </row>
    <row r="5" spans="1:28" ht="12.75">
      <c r="A5" s="135" t="s">
        <v>233</v>
      </c>
      <c r="B5" s="136"/>
      <c r="C5" s="136"/>
      <c r="D5" s="136"/>
      <c r="E5" s="136">
        <v>1</v>
      </c>
      <c r="F5" s="136">
        <v>2</v>
      </c>
      <c r="G5" s="136">
        <v>1</v>
      </c>
      <c r="H5" s="136">
        <v>1</v>
      </c>
      <c r="I5" s="136">
        <v>1</v>
      </c>
      <c r="J5" s="136">
        <v>8</v>
      </c>
      <c r="K5" s="136"/>
      <c r="L5" s="136"/>
      <c r="M5" s="136"/>
      <c r="N5" s="136"/>
      <c r="O5" s="136"/>
      <c r="P5" s="136"/>
      <c r="Q5" s="136"/>
      <c r="R5" s="136"/>
      <c r="S5" s="136"/>
      <c r="T5" s="136"/>
      <c r="U5" s="136"/>
      <c r="V5" s="136"/>
      <c r="W5" s="136"/>
      <c r="X5" s="136"/>
      <c r="Y5" s="95">
        <f>(X5*X3)+(W3*W5)+(V3*V5)+(U3*U5)+(T3*T5)+(S3*S5)+(R3*R5)+(Q3*Q5)+(P3*P5)+(O3*O5)+(N3*N5)+(L3*L5)+(K3*K5)+(J3*J5)+(I3*I5)+(H3*H5)+(G3*G5)+(F3*F5)+(E3*E5)+(D3*D5)+(C3*C5)+(B3*B5)</f>
        <v>32.142499999999998</v>
      </c>
      <c r="Z5" s="132"/>
      <c r="AA5" s="95"/>
      <c r="AB5" s="132"/>
    </row>
    <row r="6" spans="1:28" ht="12.75">
      <c r="A6" s="135" t="s">
        <v>225</v>
      </c>
      <c r="B6" s="136"/>
      <c r="C6" s="136"/>
      <c r="D6" s="136"/>
      <c r="E6" s="136">
        <v>1</v>
      </c>
      <c r="F6" s="136">
        <v>1</v>
      </c>
      <c r="G6" s="136"/>
      <c r="H6" s="136"/>
      <c r="I6" s="136"/>
      <c r="J6" s="136"/>
      <c r="K6" s="136">
        <v>1</v>
      </c>
      <c r="L6" s="136"/>
      <c r="M6" s="136"/>
      <c r="N6" s="136"/>
      <c r="O6" s="136"/>
      <c r="P6" s="136"/>
      <c r="Q6" s="136"/>
      <c r="R6" s="136"/>
      <c r="S6" s="136"/>
      <c r="T6" s="136"/>
      <c r="U6" s="136"/>
      <c r="V6" s="136"/>
      <c r="W6" s="136"/>
      <c r="X6" s="136"/>
      <c r="Y6" s="95">
        <f>(X6*X3)+(W3*W6)+(V3*V6)+(U3*U6)+(T3*T6)+(S3*S6)+(R3*R6)+(Q3*Q6)+(P3*P6)+(O3*O6)+(N3*N6)+(L3*L6)+(K3*K6)+(J3*J6)+(I3*I6)+(H3*H6)+(G3*G6)+(F3*F6)+(E3*E6)+(D3*D6)+(C3*C6)+(B3*B6)</f>
        <v>13.336</v>
      </c>
      <c r="Z6" s="132"/>
      <c r="AA6" s="95"/>
      <c r="AB6" s="132"/>
    </row>
    <row r="7" spans="1:28" ht="12.75">
      <c r="A7" s="135" t="s">
        <v>234</v>
      </c>
      <c r="B7" s="136"/>
      <c r="C7" s="136"/>
      <c r="D7" s="136"/>
      <c r="E7" s="136"/>
      <c r="F7" s="136"/>
      <c r="G7" s="136"/>
      <c r="H7" s="136"/>
      <c r="I7" s="136"/>
      <c r="J7" s="136"/>
      <c r="K7" s="136"/>
      <c r="L7" s="136"/>
      <c r="M7" s="136"/>
      <c r="N7" s="136"/>
      <c r="O7" s="136"/>
      <c r="P7" s="136"/>
      <c r="Q7" s="136"/>
      <c r="R7" s="136"/>
      <c r="S7" s="136"/>
      <c r="T7" s="136"/>
      <c r="U7" s="136"/>
      <c r="V7" s="136"/>
      <c r="W7" s="136"/>
      <c r="X7" s="136"/>
      <c r="Y7" s="95">
        <f>(X7*X3)+(W3*W7)+(V3*V7)+(U3*U7)+(T3*T7)+(S3*S7)+(R3*R7)+(Q3*Q7)+(P3*P7)+(O3*O7)+(N3*N7)+(L3*L7)+(K3*K7)+(J3*J7)+(I3*I7)+(H3*H7)+(G3*G7)+(F3*F7)+(E3*E7)+(D3*D7)+(C3*C7)+(B3*B7)</f>
        <v>0</v>
      </c>
      <c r="Z7" s="132"/>
      <c r="AA7" s="95"/>
      <c r="AB7" s="132"/>
    </row>
    <row r="8" spans="1:28" ht="12.75">
      <c r="A8" s="135" t="s">
        <v>235</v>
      </c>
      <c r="B8" s="136"/>
      <c r="C8" s="136"/>
      <c r="D8" s="136"/>
      <c r="E8" s="136"/>
      <c r="F8" s="136"/>
      <c r="G8" s="136"/>
      <c r="H8" s="136"/>
      <c r="I8" s="136"/>
      <c r="J8" s="136"/>
      <c r="K8" s="136"/>
      <c r="L8" s="136"/>
      <c r="M8" s="136"/>
      <c r="N8" s="136"/>
      <c r="O8" s="136"/>
      <c r="P8" s="136"/>
      <c r="Q8" s="136"/>
      <c r="R8" s="136"/>
      <c r="S8" s="136"/>
      <c r="T8" s="136"/>
      <c r="U8" s="136"/>
      <c r="V8" s="136"/>
      <c r="W8" s="136"/>
      <c r="X8" s="136"/>
      <c r="Y8" s="95">
        <f>(X8*X3)+(W3*W8)+(V3*V8)+(U3*U8)+(T3*T8)+(S3*S8)+(R3*R8)+(Q3*Q8)+(P3*P8)+(O3*O8)+(N3*N8)+(L3*L8)+(K3*K8)+(J3*J8)+(I3*I8)+(H3*H8)+(G3*G8)+(F3*F8)+(E3*E8)+(D3*D8)+(C3*C8)+(B3*B8)</f>
        <v>0</v>
      </c>
      <c r="Z8" s="132"/>
      <c r="AA8" s="95"/>
      <c r="AB8" s="132"/>
    </row>
    <row r="9" spans="1:28" ht="12.75">
      <c r="A9" s="135" t="s">
        <v>236</v>
      </c>
      <c r="B9" s="136"/>
      <c r="C9" s="136"/>
      <c r="D9" s="136"/>
      <c r="E9" s="136"/>
      <c r="F9" s="136"/>
      <c r="G9" s="136"/>
      <c r="H9" s="136"/>
      <c r="I9" s="136"/>
      <c r="J9" s="136"/>
      <c r="K9" s="136"/>
      <c r="L9" s="136"/>
      <c r="M9" s="136"/>
      <c r="N9" s="136"/>
      <c r="O9" s="136"/>
      <c r="P9" s="136"/>
      <c r="Q9" s="136"/>
      <c r="R9" s="136"/>
      <c r="S9" s="136"/>
      <c r="T9" s="136"/>
      <c r="U9" s="136"/>
      <c r="V9" s="136"/>
      <c r="W9" s="136"/>
      <c r="X9" s="136"/>
      <c r="Y9" s="95">
        <f>(X9*X3)+(W3*W9)+(V3*V9)+(U3*U9)+(T3*T9)+(S3*S9)+(R3*R9)+(Q3*Q9)+(P3*P9)+(O3*O9)+(N3*N9)+(L3*L9)+(K3*K9)+(J3*J9)+(I3*I9)+(H3*H9)+(G3*G9)+(F3*F9)+(E3*E9)+(D3*D9)+(C3*C9)+(B3*B9)</f>
        <v>0</v>
      </c>
      <c r="Z9" s="132"/>
      <c r="AA9" s="95"/>
      <c r="AB9" s="132"/>
    </row>
    <row r="10" spans="1:28" ht="12.75">
      <c r="A10" s="135" t="s">
        <v>237</v>
      </c>
      <c r="B10" s="136"/>
      <c r="C10" s="136"/>
      <c r="D10" s="136"/>
      <c r="E10" s="136"/>
      <c r="F10" s="136"/>
      <c r="G10" s="136"/>
      <c r="H10" s="136"/>
      <c r="I10" s="136"/>
      <c r="J10" s="136"/>
      <c r="K10" s="136"/>
      <c r="L10" s="136"/>
      <c r="M10" s="136"/>
      <c r="N10" s="136"/>
      <c r="O10" s="136"/>
      <c r="P10" s="136"/>
      <c r="Q10" s="136"/>
      <c r="R10" s="136"/>
      <c r="S10" s="136"/>
      <c r="T10" s="136"/>
      <c r="U10" s="136"/>
      <c r="V10" s="136"/>
      <c r="W10" s="136"/>
      <c r="X10" s="136"/>
      <c r="Y10" s="95">
        <f>(X10*X3)+(W3*W10)+(V3*V10)+(U3*U10)+(T3*T10)+(S3*S10)+(R3*R10)+(Q3*Q10)+(P3*P10)+(O3*O10)+(N3*N10)+(L3*L10)+(K3*K10)+(J3*J10)+(I3*I10)+(H3*H10)+(G3*G10)+(F3*F10)+(E3*E10)+(D3*D10)+(C3*C10)+(B3*B10)</f>
        <v>0</v>
      </c>
      <c r="Z10" s="132"/>
      <c r="AA10" s="95"/>
      <c r="AB10" s="132"/>
    </row>
    <row r="11" spans="1:28" ht="12.75">
      <c r="A11" s="135" t="s">
        <v>238</v>
      </c>
      <c r="B11" s="136"/>
      <c r="C11" s="136"/>
      <c r="D11" s="136"/>
      <c r="E11" s="136"/>
      <c r="F11" s="136"/>
      <c r="G11" s="136"/>
      <c r="H11" s="136"/>
      <c r="I11" s="136"/>
      <c r="J11" s="136"/>
      <c r="K11" s="136"/>
      <c r="L11" s="136"/>
      <c r="M11" s="136"/>
      <c r="N11" s="136"/>
      <c r="O11" s="136"/>
      <c r="P11" s="136"/>
      <c r="Q11" s="136"/>
      <c r="R11" s="136"/>
      <c r="S11" s="136"/>
      <c r="T11" s="136"/>
      <c r="U11" s="136"/>
      <c r="V11" s="136"/>
      <c r="W11" s="136"/>
      <c r="X11" s="136"/>
      <c r="Y11" s="95">
        <f>(X11*X3)+(W3*W11)+(V3*V11)+(U3*U11)+(T3*T11)+(S3*S11)+(R3*R11)+(Q3*Q11)+(P3*P11)+(O3*O11)+(N3*N11)+(L3*L11)+(K3*K11)+(J3*J11)+(I3*I11)+(H3*H11)+(G3*G11)+(F3*F11)+(E3*E11)+(D3*D11)+(C3*C11)+(B3*B11)</f>
        <v>0</v>
      </c>
      <c r="Z11" s="132"/>
      <c r="AA11" s="95"/>
      <c r="AB11" s="132"/>
    </row>
    <row r="12" spans="1:28" ht="12.75">
      <c r="A12" s="135" t="s">
        <v>239</v>
      </c>
      <c r="B12" s="136"/>
      <c r="C12" s="136"/>
      <c r="D12" s="136"/>
      <c r="E12" s="136"/>
      <c r="F12" s="136"/>
      <c r="G12" s="136"/>
      <c r="H12" s="136"/>
      <c r="I12" s="136"/>
      <c r="J12" s="136"/>
      <c r="K12" s="136"/>
      <c r="L12" s="136"/>
      <c r="M12" s="136"/>
      <c r="N12" s="136"/>
      <c r="O12" s="136"/>
      <c r="P12" s="136"/>
      <c r="Q12" s="136"/>
      <c r="R12" s="136"/>
      <c r="S12" s="136"/>
      <c r="T12" s="136"/>
      <c r="U12" s="136"/>
      <c r="V12" s="136"/>
      <c r="W12" s="136"/>
      <c r="X12" s="136"/>
      <c r="Y12" s="95">
        <f>(X12*X3)+(W3*W12)+(V3*V12)+(U3*U12)+(T3*T12)+(S3*S12)+(R3*R12)+(Q3*Q12)+(P3*P12)+(O3*O12)+(N3*N12)+(L3*L12)+(K3*K12)+(J3*J12)+(I3*I12)+(H3*H12)+(G3*G12)+(F3*F12)+(E3*E12)+(D3*D12)+(C3*C12)+(B3*B12)</f>
        <v>0</v>
      </c>
      <c r="Z12" s="132"/>
      <c r="AA12" s="95"/>
      <c r="AB12" s="132"/>
    </row>
    <row r="13" spans="1:28" ht="12.75">
      <c r="A13" s="135" t="s">
        <v>240</v>
      </c>
      <c r="B13" s="136"/>
      <c r="C13" s="136"/>
      <c r="D13" s="136"/>
      <c r="E13" s="136"/>
      <c r="F13" s="136"/>
      <c r="G13" s="136"/>
      <c r="H13" s="136"/>
      <c r="I13" s="136"/>
      <c r="J13" s="136"/>
      <c r="K13" s="136"/>
      <c r="L13" s="136"/>
      <c r="M13" s="136"/>
      <c r="N13" s="136"/>
      <c r="O13" s="136"/>
      <c r="P13" s="136"/>
      <c r="Q13" s="136"/>
      <c r="R13" s="136"/>
      <c r="S13" s="136"/>
      <c r="T13" s="136"/>
      <c r="U13" s="136"/>
      <c r="V13" s="136"/>
      <c r="W13" s="136"/>
      <c r="X13" s="136"/>
      <c r="Y13" s="95">
        <f>(X13*X3)+(W3*W13)+(V3*V13)+(U3*U13)+(T3*T13)+(S3*S13)+(R3*R13)+(Q3*Q13)+(P3*P13)+(O3*O13)+(N3*N13)+(L3*L13)+(K3*K13)+(J3*J13)+(I3*I13)+(H3*H13)+(G3*G13)+(F3*F13)+(E3*E13)+(D3*D13)+(C3*C13)+(B3*B13)</f>
        <v>0</v>
      </c>
      <c r="Z13" s="132"/>
      <c r="AA13" s="95"/>
      <c r="AB13" s="132"/>
    </row>
    <row r="14" spans="1:28" ht="12.75">
      <c r="A14" s="135" t="s">
        <v>241</v>
      </c>
      <c r="B14" s="136"/>
      <c r="C14" s="136"/>
      <c r="D14" s="136"/>
      <c r="E14" s="136"/>
      <c r="F14" s="136"/>
      <c r="G14" s="136"/>
      <c r="H14" s="136"/>
      <c r="I14" s="136"/>
      <c r="J14" s="136"/>
      <c r="K14" s="136"/>
      <c r="L14" s="136"/>
      <c r="M14" s="136"/>
      <c r="N14" s="136"/>
      <c r="O14" s="136"/>
      <c r="P14" s="136"/>
      <c r="Q14" s="136"/>
      <c r="R14" s="136"/>
      <c r="S14" s="136"/>
      <c r="T14" s="136"/>
      <c r="U14" s="136"/>
      <c r="V14" s="136"/>
      <c r="W14" s="136"/>
      <c r="X14" s="136"/>
      <c r="Y14" s="95">
        <f>(X14*X3)+(W3*W14)+(V3*V14)+(U3*U14)+(T3*T14)+(S3*S14)+(R3*R14)+(Q3*Q14)+(P3*P14)+(O3*O14)+(N3*N14)+(L3*L14)+(K3*K14)+(J3*J14)+(I3*I14)+(H3*H14)+(G3*G14)+(F3*F14)+(E3*E14)+(D3*D14)+(C3*C14)+(B3*B14)</f>
        <v>0</v>
      </c>
      <c r="Z14" s="132"/>
      <c r="AA14" s="95"/>
      <c r="AB14" s="132"/>
    </row>
    <row r="15" spans="1:28" ht="12.75">
      <c r="A15" s="135"/>
      <c r="B15" s="136"/>
      <c r="C15" s="136"/>
      <c r="D15" s="136"/>
      <c r="E15" s="136"/>
      <c r="F15" s="136"/>
      <c r="G15" s="136"/>
      <c r="H15" s="136"/>
      <c r="I15" s="136"/>
      <c r="J15" s="136"/>
      <c r="K15" s="136"/>
      <c r="L15" s="136"/>
      <c r="M15" s="136"/>
      <c r="N15" s="136"/>
      <c r="O15" s="136"/>
      <c r="P15" s="136"/>
      <c r="Q15" s="136"/>
      <c r="R15" s="136"/>
      <c r="S15" s="136"/>
      <c r="T15" s="136"/>
      <c r="U15" s="136"/>
      <c r="V15" s="136"/>
      <c r="W15" s="136"/>
      <c r="X15" s="136"/>
      <c r="Y15" s="95"/>
      <c r="Z15" s="132"/>
      <c r="AA15" s="95"/>
      <c r="AB15" s="132"/>
    </row>
    <row r="16" spans="1:28" ht="12.75">
      <c r="A16" s="135"/>
      <c r="B16" s="136">
        <f>SUM(B4:B15)</f>
        <v>0</v>
      </c>
      <c r="C16" s="136">
        <f>SUM(C4:C15)</f>
        <v>1</v>
      </c>
      <c r="D16" s="136">
        <f>SUM(D4:D15)</f>
        <v>1</v>
      </c>
      <c r="E16" s="136">
        <f>SUM(E4:E15)</f>
        <v>3</v>
      </c>
      <c r="F16" s="136">
        <f t="shared" ref="F16:P16" si="3">SUM(F4:F15)</f>
        <v>10</v>
      </c>
      <c r="G16" s="136">
        <f t="shared" si="3"/>
        <v>1</v>
      </c>
      <c r="H16" s="136">
        <f t="shared" si="3"/>
        <v>1</v>
      </c>
      <c r="I16" s="136">
        <f t="shared" si="3"/>
        <v>1</v>
      </c>
      <c r="J16" s="136">
        <f t="shared" si="3"/>
        <v>8</v>
      </c>
      <c r="K16" s="136">
        <f t="shared" si="3"/>
        <v>1</v>
      </c>
      <c r="L16" s="136">
        <f t="shared" si="3"/>
        <v>0</v>
      </c>
      <c r="M16" s="136"/>
      <c r="N16" s="136">
        <f t="shared" si="3"/>
        <v>0</v>
      </c>
      <c r="O16" s="136">
        <f t="shared" si="3"/>
        <v>0</v>
      </c>
      <c r="P16" s="136">
        <f t="shared" si="3"/>
        <v>0</v>
      </c>
      <c r="Q16" s="136"/>
      <c r="R16" s="136"/>
      <c r="S16" s="136"/>
      <c r="T16" s="136"/>
      <c r="U16" s="136"/>
      <c r="V16" s="136"/>
      <c r="W16" s="136"/>
      <c r="X16" s="136"/>
      <c r="Y16" s="95"/>
      <c r="Z16" s="132"/>
      <c r="AA16" s="95"/>
      <c r="AB16" s="132"/>
    </row>
    <row r="17" spans="1:28" ht="33" customHeight="1">
      <c r="A17" s="135"/>
      <c r="B17" s="135">
        <f>2150*B19</f>
        <v>61533</v>
      </c>
      <c r="C17" s="135">
        <f t="shared" ref="C17:J17" si="4">2150*C19</f>
        <v>62387.624999999993</v>
      </c>
      <c r="D17" s="135">
        <f t="shared" si="4"/>
        <v>130278.81999999999</v>
      </c>
      <c r="E17" s="135">
        <f t="shared" si="4"/>
        <v>149681.28000000003</v>
      </c>
      <c r="F17" s="135">
        <f t="shared" si="4"/>
        <v>178099.20599999998</v>
      </c>
      <c r="G17" s="135">
        <f t="shared" si="4"/>
        <v>167983.58499999999</v>
      </c>
      <c r="H17" s="135">
        <f t="shared" si="4"/>
        <v>237118.12500000003</v>
      </c>
      <c r="I17" s="135">
        <f t="shared" si="4"/>
        <v>774</v>
      </c>
      <c r="J17" s="135">
        <f t="shared" si="4"/>
        <v>0</v>
      </c>
      <c r="K17" s="135">
        <f t="shared" ref="K17" si="5">1950*K19</f>
        <v>0</v>
      </c>
      <c r="L17" s="135">
        <f t="shared" ref="L17" si="6">2650*L19</f>
        <v>0</v>
      </c>
      <c r="M17" s="135"/>
      <c r="N17" s="135">
        <f t="shared" ref="N17:O17" si="7">2550*N19</f>
        <v>0</v>
      </c>
      <c r="O17" s="135">
        <f t="shared" si="7"/>
        <v>0</v>
      </c>
      <c r="P17" s="135"/>
      <c r="Q17" s="135"/>
      <c r="R17" s="135"/>
      <c r="S17" s="135"/>
      <c r="T17" s="135"/>
      <c r="U17" s="135"/>
      <c r="V17" s="135"/>
      <c r="W17" s="135"/>
      <c r="X17" s="132"/>
      <c r="Y17" s="95"/>
      <c r="Z17" s="132"/>
      <c r="AA17" s="95"/>
      <c r="AB17" s="132"/>
    </row>
    <row r="18" spans="1:28" ht="12.75">
      <c r="A18" s="134" t="s">
        <v>242</v>
      </c>
      <c r="B18" s="134" t="s">
        <v>412</v>
      </c>
      <c r="C18" s="134" t="s">
        <v>413</v>
      </c>
      <c r="D18" s="134" t="s">
        <v>414</v>
      </c>
      <c r="E18" s="134" t="s">
        <v>417</v>
      </c>
      <c r="F18" s="134" t="s">
        <v>418</v>
      </c>
      <c r="G18" s="134" t="s">
        <v>415</v>
      </c>
      <c r="H18" s="134" t="s">
        <v>416</v>
      </c>
      <c r="I18" s="135" t="s">
        <v>324</v>
      </c>
      <c r="J18" s="135" t="s">
        <v>336</v>
      </c>
      <c r="K18" s="134" t="s">
        <v>325</v>
      </c>
      <c r="L18" s="134" t="s">
        <v>333</v>
      </c>
      <c r="M18" s="135"/>
      <c r="N18" s="135"/>
      <c r="O18" s="135"/>
      <c r="P18" s="135"/>
      <c r="Q18" s="135"/>
      <c r="R18" s="135"/>
      <c r="S18" s="135"/>
      <c r="T18" s="135"/>
      <c r="U18" s="135"/>
      <c r="V18" s="135"/>
      <c r="W18" s="135"/>
      <c r="X18" s="132"/>
      <c r="Y18" s="95"/>
      <c r="Z18" s="132"/>
      <c r="AA18" s="137" t="s">
        <v>243</v>
      </c>
      <c r="AB18" s="132"/>
    </row>
    <row r="19" spans="1:28" ht="12.75">
      <c r="A19" s="135"/>
      <c r="B19" s="138">
        <f>3.6*7.95</f>
        <v>28.62</v>
      </c>
      <c r="C19" s="136">
        <f>3.65*7.95</f>
        <v>29.017499999999998</v>
      </c>
      <c r="D19" s="139">
        <f>7.973*7.6</f>
        <v>60.594799999999999</v>
      </c>
      <c r="E19" s="139">
        <f>15.54*4.48</f>
        <v>69.619200000000006</v>
      </c>
      <c r="F19" s="139">
        <f>9.123*9.08</f>
        <v>82.836839999999995</v>
      </c>
      <c r="G19" s="139">
        <f>9.73*8.03</f>
        <v>78.131900000000002</v>
      </c>
      <c r="H19" s="139">
        <f>17.646*6.25</f>
        <v>110.28750000000001</v>
      </c>
      <c r="I19" s="139">
        <f>0.6*0.6</f>
        <v>0.36</v>
      </c>
      <c r="J19" s="139"/>
      <c r="K19" s="139"/>
      <c r="L19" s="139"/>
      <c r="M19" s="139"/>
      <c r="N19" s="139"/>
      <c r="O19" s="139"/>
      <c r="P19" s="139"/>
      <c r="Q19" s="139"/>
      <c r="R19" s="139"/>
      <c r="S19" s="139"/>
      <c r="T19" s="140"/>
      <c r="U19" s="140"/>
      <c r="V19" s="140"/>
      <c r="W19" s="140"/>
      <c r="X19" s="132"/>
      <c r="Y19" s="95"/>
      <c r="Z19" s="132"/>
      <c r="AA19" s="95"/>
      <c r="AB19" s="132"/>
    </row>
    <row r="20" spans="1:28" ht="12.75">
      <c r="A20" s="135" t="s">
        <v>232</v>
      </c>
      <c r="B20" s="128">
        <v>1</v>
      </c>
      <c r="C20" s="128">
        <v>1</v>
      </c>
      <c r="D20" s="128">
        <v>1</v>
      </c>
      <c r="E20" s="136"/>
      <c r="F20" s="136">
        <v>1</v>
      </c>
      <c r="G20" s="136">
        <v>1</v>
      </c>
      <c r="H20" s="136">
        <v>1</v>
      </c>
      <c r="I20" s="136"/>
      <c r="J20" s="136"/>
      <c r="K20" s="136"/>
      <c r="L20" s="136"/>
      <c r="M20" s="136"/>
      <c r="N20" s="136"/>
      <c r="O20" s="136"/>
      <c r="P20" s="136"/>
      <c r="Q20" s="136"/>
      <c r="R20" s="136"/>
      <c r="S20" s="136"/>
      <c r="T20" s="136"/>
      <c r="U20" s="128"/>
      <c r="V20" s="128"/>
      <c r="W20" s="128"/>
      <c r="X20" s="132"/>
      <c r="Y20" s="95">
        <f>(X20*X19)+(W19*W20)+(V19*V20)+(U19*U20)+(T19*T20)+(S19*S20)+(R19*R20)+(Q19*Q20)+(P19*P20)+(O19*O20)+(N19*N20)+(L19*L20)+(K19*K20)+(J19*J20)+(I19*I20)+(H19*H20)+(G19*G20)+(F19*F20)+(E19*E20)+(D19*D20)+(C19*C20)+(B19*B20)</f>
        <v>389.48854</v>
      </c>
      <c r="Z20" s="132"/>
      <c r="AA20" s="95">
        <f>Y4+Y20</f>
        <v>422.21593999999999</v>
      </c>
      <c r="AB20" s="132"/>
    </row>
    <row r="21" spans="1:28" ht="12.75">
      <c r="A21" s="135" t="s">
        <v>233</v>
      </c>
      <c r="B21" s="128">
        <v>1</v>
      </c>
      <c r="C21" s="128">
        <v>1</v>
      </c>
      <c r="D21" s="128">
        <v>1</v>
      </c>
      <c r="E21" s="136">
        <v>1</v>
      </c>
      <c r="F21" s="136">
        <v>1</v>
      </c>
      <c r="G21" s="136">
        <v>1</v>
      </c>
      <c r="H21" s="136"/>
      <c r="I21" s="136"/>
      <c r="J21" s="136"/>
      <c r="K21" s="136"/>
      <c r="L21" s="136"/>
      <c r="M21" s="136"/>
      <c r="N21" s="136"/>
      <c r="O21" s="136"/>
      <c r="P21" s="136"/>
      <c r="Q21" s="136"/>
      <c r="R21" s="136"/>
      <c r="S21" s="136"/>
      <c r="T21" s="136"/>
      <c r="U21" s="128"/>
      <c r="V21" s="128"/>
      <c r="W21" s="128"/>
      <c r="X21" s="132"/>
      <c r="Y21" s="95">
        <f>(X21*X19)+(W19*W21)+(V19*V21)+(U19*U21)+(T19*T21)+(S19*S21)+(R19*R21)+(Q19*Q21)+(P19*P21)+(O19*O21)+(N19*N21)+(L19*L21)+(K19*K21)+(J19*J21)+(I19*I21)+(H19*H21)+(G19*G21)+(F19*F21)+(E19*E21)+(D19*D21)+(C19*C21)+(B19*B21)</f>
        <v>348.82024000000001</v>
      </c>
      <c r="Z21" s="132"/>
      <c r="AA21" s="95">
        <f>Y5+Y21</f>
        <v>380.96274</v>
      </c>
      <c r="AB21" s="132"/>
    </row>
    <row r="22" spans="1:28" ht="12.75">
      <c r="A22" s="135" t="s">
        <v>225</v>
      </c>
      <c r="B22" s="128">
        <v>1</v>
      </c>
      <c r="C22" s="128">
        <v>1</v>
      </c>
      <c r="D22" s="128"/>
      <c r="E22" s="136"/>
      <c r="F22" s="136"/>
      <c r="G22" s="136">
        <v>1</v>
      </c>
      <c r="H22" s="136"/>
      <c r="I22" s="136"/>
      <c r="J22" s="136"/>
      <c r="K22" s="136"/>
      <c r="L22" s="136"/>
      <c r="M22" s="136"/>
      <c r="N22" s="136"/>
      <c r="O22" s="136"/>
      <c r="P22" s="136"/>
      <c r="Q22" s="136"/>
      <c r="R22" s="136"/>
      <c r="S22" s="136"/>
      <c r="T22" s="136"/>
      <c r="U22" s="128"/>
      <c r="V22" s="128"/>
      <c r="W22" s="128"/>
      <c r="X22" s="132"/>
      <c r="Y22" s="95">
        <f>(X22*X19)+(W19*W22)+(V19*V22)+(U19*U22)+(T19*T22)+(S19*S22)+(R19*R22)+(Q19*Q22)+(P19*P22)+(O19*O22)+(N19*N22)+(L19*L22)+(K19*K22)+(J19*J22)+(I19*I22)+(H19*H22)+(G19*G22)+(F19*F22)+(E19*E22)+(D19*D22)+(C19*C22)+(B19*B22)</f>
        <v>135.76939999999999</v>
      </c>
      <c r="Z22" s="132"/>
      <c r="AA22" s="95">
        <f t="shared" ref="AA22:AA30" si="8">Y6+Y22</f>
        <v>149.1054</v>
      </c>
      <c r="AB22" s="132">
        <f t="shared" ref="AB22" si="9">Z6+Z22</f>
        <v>0</v>
      </c>
    </row>
    <row r="23" spans="1:28" ht="12.75">
      <c r="A23" s="135" t="s">
        <v>234</v>
      </c>
      <c r="B23" s="128"/>
      <c r="C23" s="136"/>
      <c r="D23" s="136"/>
      <c r="E23" s="136"/>
      <c r="F23" s="136"/>
      <c r="G23" s="136"/>
      <c r="H23" s="136"/>
      <c r="I23" s="136"/>
      <c r="J23" s="136"/>
      <c r="K23" s="136"/>
      <c r="L23" s="136"/>
      <c r="M23" s="136"/>
      <c r="N23" s="136"/>
      <c r="O23" s="136"/>
      <c r="P23" s="136"/>
      <c r="Q23" s="136"/>
      <c r="R23" s="136"/>
      <c r="S23" s="136"/>
      <c r="T23" s="136"/>
      <c r="U23" s="128"/>
      <c r="V23" s="128"/>
      <c r="W23" s="128"/>
      <c r="X23" s="132"/>
      <c r="Y23" s="95">
        <f>(X23*X19)+(W19*W23)+(V19*V23)+(U19*U23)+(T19*T23)+(S19*S23)+(R19*R23)+(Q19*Q23)+(P19*P23)+(O19*O23)+(N19*N23)+(L19*L23)+(K19*K23)+(J19*J23)+(I19*I23)+(H19*H23)+(G19*G23)+(F19*F23)+(E19*E23)+(D19*D23)+(C19*C23)+(B19*B23)</f>
        <v>0</v>
      </c>
      <c r="Z23" s="132"/>
      <c r="AA23" s="95">
        <f t="shared" si="8"/>
        <v>0</v>
      </c>
      <c r="AB23" s="132"/>
    </row>
    <row r="24" spans="1:28" ht="12.75">
      <c r="A24" s="135" t="s">
        <v>235</v>
      </c>
      <c r="B24" s="128"/>
      <c r="C24" s="136"/>
      <c r="D24" s="136"/>
      <c r="E24" s="136"/>
      <c r="F24" s="136"/>
      <c r="G24" s="136"/>
      <c r="H24" s="136"/>
      <c r="I24" s="136"/>
      <c r="J24" s="136"/>
      <c r="K24" s="136"/>
      <c r="L24" s="136"/>
      <c r="M24" s="136"/>
      <c r="N24" s="136"/>
      <c r="O24" s="136"/>
      <c r="P24" s="136"/>
      <c r="Q24" s="136"/>
      <c r="R24" s="136"/>
      <c r="S24" s="136"/>
      <c r="T24" s="136"/>
      <c r="U24" s="128"/>
      <c r="V24" s="128"/>
      <c r="W24" s="128"/>
      <c r="X24" s="132"/>
      <c r="Y24" s="95">
        <f>(X24*X19)+(W19*W24)+(V19*V24)+(U19*U24)+(T19*T24)+(S19*S24)+(R19*R24)+(Q19*Q24)+(P19*P24)+(O19*O24)+(N19*N24)+(L19*L24)+(K19*K24)+(J19*J24)+(I19*I24)+(H19*H24)+(G19*G24)+(F19*F24)+(E19*E24)+(D19*D24)+(C19*C24)+(B19*B24)</f>
        <v>0</v>
      </c>
      <c r="Z24" s="132"/>
      <c r="AA24" s="95">
        <f t="shared" si="8"/>
        <v>0</v>
      </c>
      <c r="AB24" s="132"/>
    </row>
    <row r="25" spans="1:28" ht="12.75">
      <c r="A25" s="135" t="s">
        <v>236</v>
      </c>
      <c r="B25" s="128"/>
      <c r="C25" s="136"/>
      <c r="D25" s="136"/>
      <c r="E25" s="136"/>
      <c r="F25" s="136"/>
      <c r="G25" s="136"/>
      <c r="H25" s="136"/>
      <c r="I25" s="136"/>
      <c r="J25" s="136"/>
      <c r="K25" s="136"/>
      <c r="L25" s="136"/>
      <c r="M25" s="136"/>
      <c r="N25" s="136"/>
      <c r="O25" s="136"/>
      <c r="P25" s="136"/>
      <c r="Q25" s="136"/>
      <c r="R25" s="136"/>
      <c r="S25" s="136"/>
      <c r="T25" s="136"/>
      <c r="U25" s="128"/>
      <c r="V25" s="128"/>
      <c r="W25" s="128"/>
      <c r="X25" s="132"/>
      <c r="Y25" s="95">
        <f>(X25*X19)+(W19*W25)+(V19*V25)+(U19*U25)+(T19*T25)+(S19*S25)+(R19*R25)+(Q19*Q25)+(P19*P25)+(O19*O25)+(N19*N25)+(L19*L25)+(K19*K25)+(J19*J25)+(I19*I25)+(H19*H25)+(G19*G25)+(F19*F25)+(E19*E25)+(D19*D25)+(C19*C25)+(B19*B25)</f>
        <v>0</v>
      </c>
      <c r="Z25" s="132"/>
      <c r="AA25" s="95">
        <f t="shared" si="8"/>
        <v>0</v>
      </c>
      <c r="AB25" s="132"/>
    </row>
    <row r="26" spans="1:28" ht="12.75">
      <c r="A26" s="135" t="s">
        <v>237</v>
      </c>
      <c r="B26" s="128"/>
      <c r="C26" s="136"/>
      <c r="D26" s="136"/>
      <c r="E26" s="136"/>
      <c r="F26" s="136"/>
      <c r="G26" s="136"/>
      <c r="H26" s="136"/>
      <c r="I26" s="136"/>
      <c r="J26" s="136"/>
      <c r="K26" s="136"/>
      <c r="L26" s="136"/>
      <c r="M26" s="136"/>
      <c r="N26" s="136"/>
      <c r="O26" s="136"/>
      <c r="P26" s="136"/>
      <c r="Q26" s="136"/>
      <c r="R26" s="136"/>
      <c r="S26" s="136"/>
      <c r="T26" s="136"/>
      <c r="U26" s="128"/>
      <c r="V26" s="128"/>
      <c r="W26" s="128"/>
      <c r="X26" s="132"/>
      <c r="Y26" s="95">
        <f>(X26*X19)+(W19*W26)+(V19*V26)+(U19*U26)+(T19*T26)+(S19*S26)+(R19*R26)+(Q19*Q26)+(P19*P26)+(O19*O26)+(N19*N26)+(L19*L26)+(K19*K26)+(J19*J26)+(I19*I26)+(H19*H26)+(G19*G26)+(F19*F26)+(E19*E26)+(D19*D26)+(C19*C26)+(B19*B26)</f>
        <v>0</v>
      </c>
      <c r="Z26" s="132"/>
      <c r="AA26" s="95">
        <f t="shared" si="8"/>
        <v>0</v>
      </c>
      <c r="AB26" s="132"/>
    </row>
    <row r="27" spans="1:28" ht="12.75">
      <c r="A27" s="135" t="s">
        <v>238</v>
      </c>
      <c r="B27" s="128"/>
      <c r="C27" s="136"/>
      <c r="D27" s="136"/>
      <c r="E27" s="136"/>
      <c r="F27" s="136"/>
      <c r="G27" s="136"/>
      <c r="H27" s="136"/>
      <c r="I27" s="136"/>
      <c r="J27" s="136"/>
      <c r="K27" s="136"/>
      <c r="L27" s="136"/>
      <c r="M27" s="136"/>
      <c r="N27" s="136"/>
      <c r="O27" s="136"/>
      <c r="P27" s="136"/>
      <c r="Q27" s="136"/>
      <c r="R27" s="136"/>
      <c r="S27" s="136"/>
      <c r="T27" s="136"/>
      <c r="U27" s="128"/>
      <c r="V27" s="128"/>
      <c r="W27" s="128"/>
      <c r="X27" s="132"/>
      <c r="Y27" s="95">
        <f>(X27*X19)+(W19*W27)+(V19*V27)+(U19*U27)+(T19*T27)+(S19*S27)+(R19*R27)+(Q19*Q27)+(P19*P27)+(O19*O27)+(N19*N27)+(L19*L27)+(K19*K27)+(J19*J27)+(I19*I27)+(H19*H27)+(G19*G27)+(F19*F27)+(E19*E27)+(D19*D27)+(C19*C27)+(B19*B27)</f>
        <v>0</v>
      </c>
      <c r="Z27" s="132"/>
      <c r="AA27" s="95">
        <f t="shared" si="8"/>
        <v>0</v>
      </c>
      <c r="AB27" s="132"/>
    </row>
    <row r="28" spans="1:28" ht="12.75">
      <c r="A28" s="135" t="s">
        <v>239</v>
      </c>
      <c r="B28" s="128"/>
      <c r="C28" s="136"/>
      <c r="D28" s="136"/>
      <c r="E28" s="136"/>
      <c r="F28" s="136"/>
      <c r="G28" s="136"/>
      <c r="H28" s="136"/>
      <c r="I28" s="136"/>
      <c r="J28" s="136"/>
      <c r="K28" s="136"/>
      <c r="L28" s="136"/>
      <c r="M28" s="136"/>
      <c r="N28" s="136"/>
      <c r="O28" s="136"/>
      <c r="P28" s="136"/>
      <c r="Q28" s="136"/>
      <c r="R28" s="136"/>
      <c r="S28" s="136"/>
      <c r="T28" s="136"/>
      <c r="U28" s="128"/>
      <c r="V28" s="128"/>
      <c r="W28" s="128"/>
      <c r="X28" s="132"/>
      <c r="Y28" s="95">
        <f>(X28*X19)+(W19*W28)+(V19*V28)+(U19*U28)+(T19*T28)+(S19*S28)+(R19*R28)+(Q19*Q28)+(P19*P28)+(O19*O28)+(N19*N28)+(L19*L28)+(K19*K28)+(J19*J28)+(I19*I28)+(H19*H28)+(G19*G28)+(F19*F28)+(E19*E28)+(D19*D28)+(C19*C28)+(B19*B28)</f>
        <v>0</v>
      </c>
      <c r="Z28" s="132"/>
      <c r="AA28" s="95">
        <f t="shared" si="8"/>
        <v>0</v>
      </c>
      <c r="AB28" s="132"/>
    </row>
    <row r="29" spans="1:28" ht="12.75">
      <c r="A29" s="135" t="s">
        <v>240</v>
      </c>
      <c r="B29" s="128"/>
      <c r="C29" s="136"/>
      <c r="D29" s="136"/>
      <c r="E29" s="136"/>
      <c r="F29" s="136"/>
      <c r="G29" s="136"/>
      <c r="H29" s="136"/>
      <c r="I29" s="136"/>
      <c r="J29" s="136"/>
      <c r="K29" s="136"/>
      <c r="L29" s="136"/>
      <c r="M29" s="136"/>
      <c r="N29" s="136"/>
      <c r="O29" s="136"/>
      <c r="P29" s="136"/>
      <c r="Q29" s="136"/>
      <c r="R29" s="136"/>
      <c r="S29" s="136"/>
      <c r="T29" s="136"/>
      <c r="U29" s="128"/>
      <c r="V29" s="128"/>
      <c r="W29" s="128"/>
      <c r="X29" s="132"/>
      <c r="Y29" s="95">
        <f>(X29*X19)+(W19*W29)+(V19*V29)+(U19*U29)+(T19*T29)+(S19*S29)+(R19*R29)+(Q19*Q29)+(P19*P29)+(O19*O29)+(N19*N29)+(L19*L29)+(K19*K29)+(J19*J29)+(I19*I29)+(H19*H29)+(G19*G29)+(F19*F29)+(E19*E29)+(D19*D29)+(C19*C29)+(B19*B29)</f>
        <v>0</v>
      </c>
      <c r="Z29" s="132"/>
      <c r="AA29" s="95">
        <f t="shared" si="8"/>
        <v>0</v>
      </c>
      <c r="AB29" s="132"/>
    </row>
    <row r="30" spans="1:28" ht="12.75">
      <c r="A30" s="135" t="s">
        <v>241</v>
      </c>
      <c r="B30" s="128"/>
      <c r="C30" s="136"/>
      <c r="D30" s="136"/>
      <c r="E30" s="136"/>
      <c r="F30" s="136"/>
      <c r="G30" s="136"/>
      <c r="H30" s="136"/>
      <c r="I30" s="136"/>
      <c r="J30" s="136"/>
      <c r="K30" s="136"/>
      <c r="L30" s="136"/>
      <c r="M30" s="136"/>
      <c r="N30" s="136"/>
      <c r="O30" s="136"/>
      <c r="P30" s="136"/>
      <c r="Q30" s="136"/>
      <c r="R30" s="136"/>
      <c r="S30" s="136"/>
      <c r="T30" s="136"/>
      <c r="U30" s="128"/>
      <c r="V30" s="128"/>
      <c r="W30" s="128"/>
      <c r="X30" s="132"/>
      <c r="Y30" s="95">
        <f>(X30*X19)+(W19*W30)+(V19*V30)+(U19*U30)+(T19*T30)+(S19*S30)+(R19*R30)+(Q19*Q30)+(P19*P30)+(O19*O30)+(N19*N30)+(L19*L30)+(K19*K30)+(J19*J30)+(I19*I30)+(H19*H30)+(G19*G30)+(F19*F30)+(E19*E30)+(D19*D30)+(C19*C30)+(B19*B30)</f>
        <v>0</v>
      </c>
      <c r="Z30" s="132"/>
      <c r="AA30" s="95">
        <f t="shared" si="8"/>
        <v>0</v>
      </c>
      <c r="AB30" s="132"/>
    </row>
    <row r="31" spans="1:28" ht="12.75">
      <c r="A31" s="135"/>
      <c r="B31" s="128"/>
      <c r="C31" s="136"/>
      <c r="D31" s="136"/>
      <c r="E31" s="136"/>
      <c r="F31" s="136"/>
      <c r="G31" s="136"/>
      <c r="H31" s="136"/>
      <c r="I31" s="136"/>
      <c r="J31" s="136"/>
      <c r="K31" s="136"/>
      <c r="L31" s="136"/>
      <c r="M31" s="136"/>
      <c r="N31" s="136"/>
      <c r="O31" s="136"/>
      <c r="P31" s="136"/>
      <c r="Q31" s="136"/>
      <c r="R31" s="136"/>
      <c r="S31" s="136"/>
      <c r="T31" s="136"/>
      <c r="U31" s="128"/>
      <c r="V31" s="128"/>
      <c r="W31" s="128"/>
      <c r="X31" s="132"/>
      <c r="Y31" s="95"/>
      <c r="Z31" s="132"/>
      <c r="AA31" s="95"/>
      <c r="AB31" s="132"/>
    </row>
    <row r="32" spans="1:28" ht="12.75">
      <c r="A32" s="135"/>
      <c r="B32" s="136">
        <f>SUM(B20:B31)</f>
        <v>3</v>
      </c>
      <c r="C32" s="136">
        <f>SUM(C20:C31)</f>
        <v>3</v>
      </c>
      <c r="D32" s="136">
        <f t="shared" ref="D32:S32" si="10">SUM(D20:D31)</f>
        <v>2</v>
      </c>
      <c r="E32" s="136">
        <f t="shared" si="10"/>
        <v>1</v>
      </c>
      <c r="F32" s="136">
        <f t="shared" si="10"/>
        <v>2</v>
      </c>
      <c r="G32" s="136">
        <f t="shared" si="10"/>
        <v>3</v>
      </c>
      <c r="H32" s="136">
        <f t="shared" si="10"/>
        <v>1</v>
      </c>
      <c r="I32" s="136">
        <f t="shared" si="10"/>
        <v>0</v>
      </c>
      <c r="J32" s="136">
        <f t="shared" si="10"/>
        <v>0</v>
      </c>
      <c r="K32" s="136">
        <f t="shared" si="10"/>
        <v>0</v>
      </c>
      <c r="L32" s="136">
        <f t="shared" si="10"/>
        <v>0</v>
      </c>
      <c r="M32" s="136"/>
      <c r="N32" s="136">
        <f t="shared" si="10"/>
        <v>0</v>
      </c>
      <c r="O32" s="136">
        <f t="shared" si="10"/>
        <v>0</v>
      </c>
      <c r="P32" s="136">
        <f t="shared" si="10"/>
        <v>0</v>
      </c>
      <c r="Q32" s="136">
        <f t="shared" si="10"/>
        <v>0</v>
      </c>
      <c r="R32" s="136">
        <f t="shared" si="10"/>
        <v>0</v>
      </c>
      <c r="S32" s="136">
        <f t="shared" si="10"/>
        <v>0</v>
      </c>
      <c r="T32" s="136"/>
      <c r="U32" s="128"/>
      <c r="V32" s="128"/>
      <c r="W32" s="128">
        <v>0</v>
      </c>
      <c r="X32" s="132"/>
      <c r="Y32" s="95"/>
      <c r="Z32" s="132"/>
      <c r="AA32" s="95"/>
      <c r="AB32" s="132"/>
    </row>
    <row r="33" spans="2:27" s="132" customFormat="1" ht="12.75">
      <c r="B33" s="95"/>
      <c r="C33" s="95"/>
      <c r="D33" s="95"/>
      <c r="E33" s="95"/>
      <c r="F33" s="95"/>
      <c r="G33" s="95"/>
      <c r="H33" s="95"/>
      <c r="I33" s="95"/>
      <c r="J33" s="95"/>
      <c r="K33" s="95"/>
      <c r="L33" s="95"/>
      <c r="M33" s="95"/>
      <c r="N33" s="95"/>
      <c r="O33" s="95"/>
      <c r="P33" s="95"/>
      <c r="Q33" s="95"/>
      <c r="R33" s="95"/>
      <c r="S33" s="95"/>
      <c r="T33" s="95"/>
      <c r="U33" s="95"/>
      <c r="V33" s="95"/>
      <c r="W33" s="95"/>
      <c r="Y33" s="95"/>
      <c r="AA33" s="95"/>
    </row>
    <row r="34" spans="2:27" s="132" customFormat="1" ht="12.75">
      <c r="Y34" s="95"/>
      <c r="AA34" s="95"/>
    </row>
    <row r="35" spans="2:27" s="132" customFormat="1" ht="12.75">
      <c r="Y35" s="95"/>
      <c r="AA35" s="95"/>
    </row>
    <row r="36" spans="2:27" s="132" customFormat="1" ht="12.75">
      <c r="Y36" s="95"/>
      <c r="AA36" s="95"/>
    </row>
    <row r="37" spans="2:27" s="132" customFormat="1" ht="12.75">
      <c r="B37" s="135"/>
      <c r="C37" s="135"/>
      <c r="D37" s="135" t="s">
        <v>329</v>
      </c>
      <c r="E37" s="135" t="s">
        <v>255</v>
      </c>
      <c r="F37" s="135" t="s">
        <v>214</v>
      </c>
      <c r="G37" s="135" t="s">
        <v>256</v>
      </c>
      <c r="H37" s="135" t="s">
        <v>257</v>
      </c>
      <c r="I37" s="135" t="s">
        <v>258</v>
      </c>
      <c r="J37" s="135" t="s">
        <v>259</v>
      </c>
      <c r="K37" s="135" t="s">
        <v>260</v>
      </c>
      <c r="L37" s="135" t="s">
        <v>322</v>
      </c>
      <c r="M37" s="178"/>
      <c r="O37" s="135" t="s">
        <v>329</v>
      </c>
      <c r="P37" s="135" t="s">
        <v>255</v>
      </c>
      <c r="Q37" s="135" t="s">
        <v>214</v>
      </c>
      <c r="R37" s="135" t="s">
        <v>256</v>
      </c>
      <c r="S37" s="135" t="s">
        <v>257</v>
      </c>
      <c r="T37" s="135" t="s">
        <v>258</v>
      </c>
      <c r="U37" s="135" t="s">
        <v>259</v>
      </c>
      <c r="V37" s="135" t="s">
        <v>260</v>
      </c>
      <c r="W37" s="135" t="s">
        <v>322</v>
      </c>
      <c r="Y37" s="95"/>
      <c r="AA37" s="95"/>
    </row>
    <row r="38" spans="2:27" s="132" customFormat="1" ht="12.75">
      <c r="B38" s="135" t="s">
        <v>215</v>
      </c>
      <c r="C38" s="214">
        <f>C1</f>
        <v>20344.800000000003</v>
      </c>
      <c r="D38" s="215">
        <f>C4</f>
        <v>1</v>
      </c>
      <c r="E38" s="135"/>
      <c r="F38" s="215"/>
      <c r="G38" s="215"/>
      <c r="H38" s="215"/>
      <c r="I38" s="215"/>
      <c r="J38" s="215"/>
      <c r="K38" s="215"/>
      <c r="L38" s="135"/>
      <c r="M38" s="216">
        <f>SUM(D38:L38)</f>
        <v>1</v>
      </c>
      <c r="N38" s="132">
        <f>SUM(D38:L38)*C38</f>
        <v>20344.800000000003</v>
      </c>
      <c r="O38" s="136">
        <f t="shared" ref="O38:O55" si="11">C38*D38</f>
        <v>20344.800000000003</v>
      </c>
      <c r="P38" s="136"/>
      <c r="Q38" s="136"/>
      <c r="R38" s="136"/>
      <c r="S38" s="136"/>
      <c r="T38" s="136"/>
      <c r="U38" s="136"/>
      <c r="V38" s="136"/>
      <c r="W38" s="136"/>
      <c r="Y38" s="95"/>
      <c r="AA38" s="95"/>
    </row>
    <row r="39" spans="2:27" s="132" customFormat="1" ht="12.75">
      <c r="B39" s="135" t="s">
        <v>208</v>
      </c>
      <c r="C39" s="214">
        <f>D1</f>
        <v>7098</v>
      </c>
      <c r="D39" s="215">
        <f>D4</f>
        <v>1</v>
      </c>
      <c r="E39" s="215"/>
      <c r="F39" s="215"/>
      <c r="G39" s="215"/>
      <c r="H39" s="215"/>
      <c r="I39" s="215"/>
      <c r="J39" s="215"/>
      <c r="K39" s="215"/>
      <c r="L39" s="135"/>
      <c r="M39" s="216">
        <f t="shared" ref="M39:M55" si="12">SUM(D39:L39)</f>
        <v>1</v>
      </c>
      <c r="N39" s="132">
        <f t="shared" ref="N39:N55" si="13">SUM(D39:L39)*C39</f>
        <v>7098</v>
      </c>
      <c r="O39" s="136">
        <f t="shared" si="11"/>
        <v>7098</v>
      </c>
      <c r="P39" s="136">
        <f t="shared" ref="P39:P55" si="14">C39*E39</f>
        <v>0</v>
      </c>
      <c r="Q39" s="136">
        <f t="shared" ref="Q39:Q55" si="15">C39*F39</f>
        <v>0</v>
      </c>
      <c r="R39" s="136">
        <f t="shared" ref="R39:R55" si="16">C39*G39</f>
        <v>0</v>
      </c>
      <c r="S39" s="136">
        <f t="shared" ref="S39:S55" si="17">C39*H39</f>
        <v>0</v>
      </c>
      <c r="T39" s="136">
        <f t="shared" ref="T39:T55" si="18">C39*I39</f>
        <v>0</v>
      </c>
      <c r="U39" s="136">
        <f t="shared" ref="U39:U55" si="19">C39*J39</f>
        <v>0</v>
      </c>
      <c r="V39" s="136">
        <f t="shared" ref="V39:V55" si="20">C39*K39</f>
        <v>0</v>
      </c>
      <c r="W39" s="136">
        <f>L39*C39</f>
        <v>0</v>
      </c>
      <c r="Y39" s="95"/>
      <c r="AA39" s="95"/>
    </row>
    <row r="40" spans="2:27" s="132" customFormat="1" ht="12.75">
      <c r="B40" s="135" t="s">
        <v>51</v>
      </c>
      <c r="C40" s="214">
        <f>E1</f>
        <v>6407</v>
      </c>
      <c r="D40" s="215">
        <f>E4</f>
        <v>1</v>
      </c>
      <c r="E40" s="215">
        <f>E5</f>
        <v>1</v>
      </c>
      <c r="F40" s="215">
        <f>E40</f>
        <v>1</v>
      </c>
      <c r="G40" s="215">
        <f>F40</f>
        <v>1</v>
      </c>
      <c r="H40" s="215">
        <f>E8</f>
        <v>0</v>
      </c>
      <c r="I40" s="135"/>
      <c r="J40" s="135"/>
      <c r="K40" s="135"/>
      <c r="L40" s="135"/>
      <c r="M40" s="216">
        <f t="shared" si="12"/>
        <v>4</v>
      </c>
      <c r="N40" s="132">
        <f t="shared" si="13"/>
        <v>25628</v>
      </c>
      <c r="O40" s="136">
        <f t="shared" si="11"/>
        <v>6407</v>
      </c>
      <c r="P40" s="136">
        <f t="shared" si="14"/>
        <v>6407</v>
      </c>
      <c r="Q40" s="136">
        <f t="shared" si="15"/>
        <v>6407</v>
      </c>
      <c r="R40" s="136">
        <f t="shared" si="16"/>
        <v>6407</v>
      </c>
      <c r="S40" s="136">
        <f t="shared" si="17"/>
        <v>0</v>
      </c>
      <c r="T40" s="136">
        <f t="shared" si="18"/>
        <v>0</v>
      </c>
      <c r="U40" s="136">
        <f t="shared" si="19"/>
        <v>0</v>
      </c>
      <c r="V40" s="136">
        <f t="shared" si="20"/>
        <v>0</v>
      </c>
      <c r="W40" s="136"/>
      <c r="Y40" s="95"/>
      <c r="AA40" s="95"/>
    </row>
    <row r="41" spans="2:27" s="132" customFormat="1" ht="12.75">
      <c r="B41" s="135" t="s">
        <v>52</v>
      </c>
      <c r="C41" s="214">
        <f>F1</f>
        <v>4740.75</v>
      </c>
      <c r="D41" s="215">
        <f>F4</f>
        <v>7</v>
      </c>
      <c r="E41" s="215">
        <f>F5</f>
        <v>2</v>
      </c>
      <c r="F41" s="215">
        <f t="shared" ref="F41:G45" si="21">E41</f>
        <v>2</v>
      </c>
      <c r="G41" s="215">
        <f t="shared" si="21"/>
        <v>2</v>
      </c>
      <c r="H41" s="135"/>
      <c r="I41" s="135"/>
      <c r="J41" s="135"/>
      <c r="K41" s="135"/>
      <c r="L41" s="135"/>
      <c r="M41" s="216">
        <f t="shared" si="12"/>
        <v>13</v>
      </c>
      <c r="N41" s="132">
        <f t="shared" si="13"/>
        <v>61629.75</v>
      </c>
      <c r="O41" s="136">
        <f t="shared" si="11"/>
        <v>33185.25</v>
      </c>
      <c r="P41" s="136">
        <f t="shared" si="14"/>
        <v>9481.5</v>
      </c>
      <c r="Q41" s="136">
        <f t="shared" si="15"/>
        <v>9481.5</v>
      </c>
      <c r="R41" s="136">
        <f t="shared" si="16"/>
        <v>9481.5</v>
      </c>
      <c r="S41" s="136">
        <f t="shared" si="17"/>
        <v>0</v>
      </c>
      <c r="T41" s="136">
        <f t="shared" si="18"/>
        <v>0</v>
      </c>
      <c r="U41" s="136">
        <f t="shared" si="19"/>
        <v>0</v>
      </c>
      <c r="V41" s="136">
        <f t="shared" si="20"/>
        <v>0</v>
      </c>
      <c r="W41" s="136"/>
      <c r="Y41" s="95"/>
      <c r="AA41" s="95"/>
    </row>
    <row r="42" spans="2:27" s="132" customFormat="1" ht="12.75">
      <c r="B42" s="135" t="s">
        <v>286</v>
      </c>
      <c r="C42" s="214">
        <f>G1</f>
        <v>7359.45</v>
      </c>
      <c r="D42" s="215">
        <f>G4</f>
        <v>0</v>
      </c>
      <c r="E42" s="215">
        <f>G5</f>
        <v>1</v>
      </c>
      <c r="F42" s="215">
        <f t="shared" si="21"/>
        <v>1</v>
      </c>
      <c r="G42" s="215">
        <f t="shared" si="21"/>
        <v>1</v>
      </c>
      <c r="H42" s="135"/>
      <c r="I42" s="135"/>
      <c r="J42" s="135"/>
      <c r="K42" s="135"/>
      <c r="L42" s="135"/>
      <c r="M42" s="216">
        <f t="shared" ref="M42" si="22">SUM(D42:L42)</f>
        <v>3</v>
      </c>
      <c r="N42" s="132">
        <f t="shared" ref="N42" si="23">SUM(D42:L42)*C42</f>
        <v>22078.35</v>
      </c>
      <c r="O42" s="136">
        <f t="shared" ref="O42" si="24">C42*D42</f>
        <v>0</v>
      </c>
      <c r="P42" s="136">
        <f t="shared" ref="P42" si="25">C42*E42</f>
        <v>7359.45</v>
      </c>
      <c r="Q42" s="136">
        <f t="shared" ref="Q42" si="26">C42*F42</f>
        <v>7359.45</v>
      </c>
      <c r="R42" s="136">
        <f t="shared" ref="R42" si="27">C42*G42</f>
        <v>7359.45</v>
      </c>
      <c r="S42" s="136">
        <f t="shared" ref="S42" si="28">C42*H42</f>
        <v>0</v>
      </c>
      <c r="T42" s="136">
        <f t="shared" ref="T42" si="29">C42*I42</f>
        <v>0</v>
      </c>
      <c r="U42" s="136">
        <f t="shared" ref="U42" si="30">C42*J42</f>
        <v>0</v>
      </c>
      <c r="V42" s="136">
        <f t="shared" ref="V42" si="31">C42*K42</f>
        <v>0</v>
      </c>
      <c r="W42" s="136"/>
      <c r="Y42" s="95"/>
      <c r="AA42" s="95"/>
    </row>
    <row r="43" spans="2:27" s="132" customFormat="1" ht="12.75">
      <c r="B43" s="135" t="s">
        <v>254</v>
      </c>
      <c r="C43" s="214">
        <f>I1</f>
        <v>4063.5</v>
      </c>
      <c r="D43" s="215"/>
      <c r="E43" s="215">
        <f>I5</f>
        <v>1</v>
      </c>
      <c r="F43" s="215">
        <f t="shared" si="21"/>
        <v>1</v>
      </c>
      <c r="G43" s="215">
        <f t="shared" si="21"/>
        <v>1</v>
      </c>
      <c r="H43" s="135"/>
      <c r="I43" s="135"/>
      <c r="J43" s="135"/>
      <c r="K43" s="135"/>
      <c r="L43" s="135"/>
      <c r="M43" s="216">
        <f t="shared" si="12"/>
        <v>3</v>
      </c>
      <c r="N43" s="132">
        <f t="shared" si="13"/>
        <v>12190.5</v>
      </c>
      <c r="O43" s="136">
        <f t="shared" si="11"/>
        <v>0</v>
      </c>
      <c r="P43" s="136">
        <f t="shared" si="14"/>
        <v>4063.5</v>
      </c>
      <c r="Q43" s="136">
        <f t="shared" si="15"/>
        <v>4063.5</v>
      </c>
      <c r="R43" s="136">
        <f t="shared" si="16"/>
        <v>4063.5</v>
      </c>
      <c r="S43" s="136">
        <f t="shared" si="17"/>
        <v>0</v>
      </c>
      <c r="T43" s="136">
        <f t="shared" si="18"/>
        <v>0</v>
      </c>
      <c r="U43" s="136">
        <f t="shared" si="19"/>
        <v>0</v>
      </c>
      <c r="V43" s="136">
        <f t="shared" si="20"/>
        <v>0</v>
      </c>
      <c r="W43" s="136"/>
      <c r="Y43" s="95"/>
      <c r="AA43" s="95"/>
    </row>
    <row r="44" spans="2:27" s="132" customFormat="1" ht="12.75">
      <c r="B44" s="135" t="s">
        <v>334</v>
      </c>
      <c r="C44" s="214">
        <f>J1</f>
        <v>4063.5</v>
      </c>
      <c r="D44" s="135"/>
      <c r="E44" s="215">
        <f>J5</f>
        <v>8</v>
      </c>
      <c r="F44" s="215">
        <f t="shared" si="21"/>
        <v>8</v>
      </c>
      <c r="G44" s="215">
        <f t="shared" si="21"/>
        <v>8</v>
      </c>
      <c r="H44" s="135"/>
      <c r="I44" s="135"/>
      <c r="J44" s="135"/>
      <c r="K44" s="135"/>
      <c r="L44" s="135"/>
      <c r="M44" s="216">
        <f t="shared" si="12"/>
        <v>24</v>
      </c>
      <c r="N44" s="132">
        <f t="shared" si="13"/>
        <v>97524</v>
      </c>
      <c r="O44" s="136">
        <f t="shared" si="11"/>
        <v>0</v>
      </c>
      <c r="P44" s="136">
        <f t="shared" si="14"/>
        <v>32508</v>
      </c>
      <c r="Q44" s="136">
        <f t="shared" si="15"/>
        <v>32508</v>
      </c>
      <c r="R44" s="136">
        <f t="shared" si="16"/>
        <v>32508</v>
      </c>
      <c r="S44" s="136">
        <f t="shared" si="17"/>
        <v>0</v>
      </c>
      <c r="T44" s="136">
        <f t="shared" si="18"/>
        <v>0</v>
      </c>
      <c r="U44" s="136">
        <f t="shared" si="19"/>
        <v>0</v>
      </c>
      <c r="V44" s="136">
        <f t="shared" si="20"/>
        <v>0</v>
      </c>
      <c r="W44" s="136"/>
      <c r="Y44" s="95"/>
      <c r="AA44" s="95"/>
    </row>
    <row r="45" spans="2:27" s="132" customFormat="1" ht="12.75">
      <c r="B45" s="135" t="s">
        <v>335</v>
      </c>
      <c r="C45" s="214">
        <f>K1</f>
        <v>16537.5</v>
      </c>
      <c r="D45" s="135"/>
      <c r="E45" s="215">
        <f>K5</f>
        <v>0</v>
      </c>
      <c r="F45" s="215">
        <f t="shared" si="21"/>
        <v>0</v>
      </c>
      <c r="G45" s="215">
        <f t="shared" si="21"/>
        <v>0</v>
      </c>
      <c r="H45" s="135"/>
      <c r="I45" s="135"/>
      <c r="J45" s="135"/>
      <c r="K45" s="135"/>
      <c r="L45" s="135"/>
      <c r="M45" s="216">
        <f t="shared" ref="M45" si="32">SUM(D45:L45)</f>
        <v>0</v>
      </c>
      <c r="N45" s="132">
        <f t="shared" ref="N45" si="33">SUM(D45:L45)*C45</f>
        <v>0</v>
      </c>
      <c r="O45" s="136">
        <f t="shared" ref="O45" si="34">C45*D45</f>
        <v>0</v>
      </c>
      <c r="P45" s="136">
        <f t="shared" ref="P45" si="35">C45*E45</f>
        <v>0</v>
      </c>
      <c r="Q45" s="136">
        <f t="shared" ref="Q45" si="36">C45*F45</f>
        <v>0</v>
      </c>
      <c r="R45" s="136">
        <f t="shared" ref="R45" si="37">C45*G45</f>
        <v>0</v>
      </c>
      <c r="S45" s="136">
        <f t="shared" ref="S45" si="38">C45*H45</f>
        <v>0</v>
      </c>
      <c r="T45" s="136">
        <f t="shared" ref="T45" si="39">C45*I45</f>
        <v>0</v>
      </c>
      <c r="U45" s="136">
        <f t="shared" ref="U45" si="40">C45*J45</f>
        <v>0</v>
      </c>
      <c r="V45" s="136">
        <f t="shared" ref="V45" si="41">C45*K45</f>
        <v>0</v>
      </c>
      <c r="W45" s="136"/>
      <c r="Y45" s="95"/>
      <c r="AA45" s="95"/>
    </row>
    <row r="46" spans="2:27" s="132" customFormat="1" ht="12.75">
      <c r="B46" s="135" t="s">
        <v>325</v>
      </c>
      <c r="C46" s="135">
        <f>K17</f>
        <v>0</v>
      </c>
      <c r="D46" s="215">
        <f>K20</f>
        <v>0</v>
      </c>
      <c r="E46" s="135"/>
      <c r="F46" s="135"/>
      <c r="G46" s="135"/>
      <c r="H46" s="135"/>
      <c r="I46" s="135"/>
      <c r="J46" s="135"/>
      <c r="K46" s="135"/>
      <c r="L46" s="135"/>
      <c r="M46" s="216">
        <f t="shared" si="12"/>
        <v>0</v>
      </c>
      <c r="N46" s="132">
        <f t="shared" si="13"/>
        <v>0</v>
      </c>
      <c r="O46" s="136">
        <f t="shared" si="11"/>
        <v>0</v>
      </c>
      <c r="P46" s="136">
        <f t="shared" si="14"/>
        <v>0</v>
      </c>
      <c r="Q46" s="136">
        <f t="shared" si="15"/>
        <v>0</v>
      </c>
      <c r="R46" s="136">
        <f t="shared" si="16"/>
        <v>0</v>
      </c>
      <c r="S46" s="136">
        <f t="shared" si="17"/>
        <v>0</v>
      </c>
      <c r="T46" s="136">
        <f t="shared" si="18"/>
        <v>0</v>
      </c>
      <c r="U46" s="136">
        <f t="shared" si="19"/>
        <v>0</v>
      </c>
      <c r="V46" s="136">
        <f t="shared" si="20"/>
        <v>0</v>
      </c>
      <c r="W46" s="136"/>
      <c r="Y46" s="95"/>
      <c r="AA46" s="95"/>
    </row>
    <row r="47" spans="2:27" s="132" customFormat="1" ht="12.75">
      <c r="B47" s="135" t="s">
        <v>333</v>
      </c>
      <c r="C47" s="135">
        <f>L17</f>
        <v>0</v>
      </c>
      <c r="D47" s="135"/>
      <c r="E47" s="215">
        <f>L21</f>
        <v>0</v>
      </c>
      <c r="F47" s="215">
        <f>E47</f>
        <v>0</v>
      </c>
      <c r="G47" s="215">
        <f>F47</f>
        <v>0</v>
      </c>
      <c r="H47" s="135"/>
      <c r="I47" s="135"/>
      <c r="J47" s="135"/>
      <c r="K47" s="135"/>
      <c r="L47" s="135"/>
      <c r="M47" s="216">
        <f t="shared" ref="M47" si="42">SUM(D47:L47)</f>
        <v>0</v>
      </c>
      <c r="N47" s="132">
        <f t="shared" ref="N47" si="43">SUM(D47:L47)*C47</f>
        <v>0</v>
      </c>
      <c r="O47" s="136">
        <f t="shared" ref="O47" si="44">C47*D47</f>
        <v>0</v>
      </c>
      <c r="P47" s="136">
        <f t="shared" ref="P47" si="45">C47*E47</f>
        <v>0</v>
      </c>
      <c r="Q47" s="136">
        <f t="shared" ref="Q47" si="46">C47*F47</f>
        <v>0</v>
      </c>
      <c r="R47" s="136">
        <f t="shared" ref="R47" si="47">C47*G47</f>
        <v>0</v>
      </c>
      <c r="S47" s="136">
        <f t="shared" ref="S47" si="48">C47*H47</f>
        <v>0</v>
      </c>
      <c r="T47" s="136">
        <f t="shared" ref="T47" si="49">C47*I47</f>
        <v>0</v>
      </c>
      <c r="U47" s="136">
        <f t="shared" ref="U47" si="50">C47*J47</f>
        <v>0</v>
      </c>
      <c r="V47" s="136">
        <f t="shared" ref="V47" si="51">C47*K47</f>
        <v>0</v>
      </c>
      <c r="W47" s="136"/>
      <c r="Y47" s="95"/>
      <c r="AA47" s="95"/>
    </row>
    <row r="48" spans="2:27" s="132" customFormat="1" ht="12.75">
      <c r="B48" s="135" t="s">
        <v>53</v>
      </c>
      <c r="C48" s="135">
        <f>C17</f>
        <v>62387.624999999993</v>
      </c>
      <c r="D48" s="215">
        <f>C20</f>
        <v>1</v>
      </c>
      <c r="E48" s="135"/>
      <c r="F48" s="215">
        <f t="shared" ref="F48:G55" si="52">E48</f>
        <v>0</v>
      </c>
      <c r="G48" s="215">
        <f t="shared" si="52"/>
        <v>0</v>
      </c>
      <c r="H48" s="135"/>
      <c r="I48" s="135"/>
      <c r="J48" s="135"/>
      <c r="K48" s="135"/>
      <c r="L48" s="135"/>
      <c r="M48" s="216">
        <f t="shared" si="12"/>
        <v>1</v>
      </c>
      <c r="N48" s="132">
        <f t="shared" si="13"/>
        <v>62387.624999999993</v>
      </c>
      <c r="O48" s="136">
        <f t="shared" si="11"/>
        <v>62387.624999999993</v>
      </c>
      <c r="P48" s="136">
        <f t="shared" si="14"/>
        <v>0</v>
      </c>
      <c r="Q48" s="136">
        <f t="shared" si="15"/>
        <v>0</v>
      </c>
      <c r="R48" s="136">
        <f t="shared" si="16"/>
        <v>0</v>
      </c>
      <c r="S48" s="136">
        <f t="shared" si="17"/>
        <v>0</v>
      </c>
      <c r="T48" s="136">
        <f t="shared" si="18"/>
        <v>0</v>
      </c>
      <c r="U48" s="136">
        <f t="shared" si="19"/>
        <v>0</v>
      </c>
      <c r="V48" s="136">
        <f t="shared" si="20"/>
        <v>0</v>
      </c>
      <c r="W48" s="136"/>
      <c r="Y48" s="95"/>
      <c r="AA48" s="95"/>
    </row>
    <row r="49" spans="2:27" s="132" customFormat="1" ht="12.75">
      <c r="B49" s="135" t="s">
        <v>287</v>
      </c>
      <c r="C49" s="135">
        <f>D17</f>
        <v>130278.81999999999</v>
      </c>
      <c r="D49" s="215">
        <f>D20</f>
        <v>1</v>
      </c>
      <c r="E49" s="215">
        <f>D21</f>
        <v>1</v>
      </c>
      <c r="F49" s="215">
        <f t="shared" si="52"/>
        <v>1</v>
      </c>
      <c r="G49" s="215">
        <f t="shared" si="52"/>
        <v>1</v>
      </c>
      <c r="H49" s="135"/>
      <c r="I49" s="135"/>
      <c r="J49" s="135"/>
      <c r="K49" s="135"/>
      <c r="L49" s="135"/>
      <c r="M49" s="216">
        <f t="shared" si="12"/>
        <v>4</v>
      </c>
      <c r="N49" s="132">
        <f t="shared" si="13"/>
        <v>521115.27999999997</v>
      </c>
      <c r="O49" s="136">
        <f t="shared" si="11"/>
        <v>130278.81999999999</v>
      </c>
      <c r="P49" s="136">
        <f t="shared" si="14"/>
        <v>130278.81999999999</v>
      </c>
      <c r="Q49" s="136">
        <f t="shared" si="15"/>
        <v>130278.81999999999</v>
      </c>
      <c r="R49" s="136">
        <f t="shared" si="16"/>
        <v>130278.81999999999</v>
      </c>
      <c r="S49" s="136">
        <f t="shared" si="17"/>
        <v>0</v>
      </c>
      <c r="T49" s="136">
        <f t="shared" si="18"/>
        <v>0</v>
      </c>
      <c r="U49" s="136">
        <f t="shared" si="19"/>
        <v>0</v>
      </c>
      <c r="V49" s="136">
        <f t="shared" si="20"/>
        <v>0</v>
      </c>
      <c r="W49" s="136"/>
      <c r="Y49" s="95"/>
      <c r="AA49" s="95"/>
    </row>
    <row r="50" spans="2:27" s="132" customFormat="1" ht="12.75">
      <c r="B50" s="135" t="s">
        <v>332</v>
      </c>
      <c r="C50" s="139">
        <f>E17</f>
        <v>149681.28000000003</v>
      </c>
      <c r="D50" s="215">
        <f>E20</f>
        <v>0</v>
      </c>
      <c r="E50" s="215">
        <f>E21</f>
        <v>1</v>
      </c>
      <c r="F50" s="215">
        <f t="shared" si="52"/>
        <v>1</v>
      </c>
      <c r="G50" s="215">
        <f t="shared" si="52"/>
        <v>1</v>
      </c>
      <c r="H50" s="135"/>
      <c r="I50" s="135"/>
      <c r="J50" s="135"/>
      <c r="K50" s="135"/>
      <c r="L50" s="135"/>
      <c r="M50" s="216">
        <f t="shared" ref="M50:M51" si="53">SUM(D50:L50)</f>
        <v>3</v>
      </c>
      <c r="N50" s="132">
        <f t="shared" ref="N50:N51" si="54">SUM(D50:L50)*C50</f>
        <v>449043.84000000008</v>
      </c>
      <c r="O50" s="136">
        <f t="shared" ref="O50:O51" si="55">C50*D50</f>
        <v>0</v>
      </c>
      <c r="P50" s="136">
        <f t="shared" ref="P50:P51" si="56">C50*E50</f>
        <v>149681.28000000003</v>
      </c>
      <c r="Q50" s="136">
        <f t="shared" ref="Q50:Q51" si="57">C50*F50</f>
        <v>149681.28000000003</v>
      </c>
      <c r="R50" s="136">
        <f t="shared" ref="R50:R51" si="58">C50*G50</f>
        <v>149681.28000000003</v>
      </c>
      <c r="S50" s="136">
        <f t="shared" ref="S50:S51" si="59">C50*H50</f>
        <v>0</v>
      </c>
      <c r="T50" s="136">
        <f t="shared" ref="T50:T51" si="60">C50*I50</f>
        <v>0</v>
      </c>
      <c r="U50" s="136">
        <f t="shared" ref="U50:U51" si="61">C50*J50</f>
        <v>0</v>
      </c>
      <c r="V50" s="136">
        <f t="shared" ref="V50:V51" si="62">C50*K50</f>
        <v>0</v>
      </c>
      <c r="W50" s="136"/>
      <c r="Y50" s="95"/>
      <c r="AA50" s="95"/>
    </row>
    <row r="51" spans="2:27" s="132" customFormat="1" ht="12.75">
      <c r="B51" s="135" t="s">
        <v>288</v>
      </c>
      <c r="C51" s="135">
        <f>F17</f>
        <v>178099.20599999998</v>
      </c>
      <c r="D51" s="215">
        <f>F20</f>
        <v>1</v>
      </c>
      <c r="E51" s="135"/>
      <c r="F51" s="215">
        <f t="shared" si="52"/>
        <v>0</v>
      </c>
      <c r="G51" s="215">
        <f t="shared" si="52"/>
        <v>0</v>
      </c>
      <c r="H51" s="135"/>
      <c r="I51" s="135"/>
      <c r="J51" s="135"/>
      <c r="K51" s="135"/>
      <c r="L51" s="135"/>
      <c r="M51" s="216">
        <f t="shared" si="53"/>
        <v>1</v>
      </c>
      <c r="N51" s="132">
        <f t="shared" si="54"/>
        <v>178099.20599999998</v>
      </c>
      <c r="O51" s="136">
        <f t="shared" si="55"/>
        <v>178099.20599999998</v>
      </c>
      <c r="P51" s="136">
        <f t="shared" si="56"/>
        <v>0</v>
      </c>
      <c r="Q51" s="136">
        <f t="shared" si="57"/>
        <v>0</v>
      </c>
      <c r="R51" s="136">
        <f t="shared" si="58"/>
        <v>0</v>
      </c>
      <c r="S51" s="136">
        <f t="shared" si="59"/>
        <v>0</v>
      </c>
      <c r="T51" s="136">
        <f t="shared" si="60"/>
        <v>0</v>
      </c>
      <c r="U51" s="136">
        <f t="shared" si="61"/>
        <v>0</v>
      </c>
      <c r="V51" s="136">
        <f t="shared" si="62"/>
        <v>0</v>
      </c>
      <c r="W51" s="136"/>
      <c r="Y51" s="95"/>
      <c r="AA51" s="95"/>
    </row>
    <row r="52" spans="2:27" s="132" customFormat="1" ht="12.75">
      <c r="B52" s="135" t="s">
        <v>289</v>
      </c>
      <c r="C52" s="135">
        <f>G17</f>
        <v>167983.58499999999</v>
      </c>
      <c r="D52" s="135"/>
      <c r="E52" s="215">
        <f>G21</f>
        <v>1</v>
      </c>
      <c r="F52" s="215">
        <f t="shared" si="52"/>
        <v>1</v>
      </c>
      <c r="G52" s="215">
        <f t="shared" si="52"/>
        <v>1</v>
      </c>
      <c r="H52" s="135"/>
      <c r="I52" s="135"/>
      <c r="J52" s="135"/>
      <c r="K52" s="135"/>
      <c r="L52" s="135"/>
      <c r="M52" s="216">
        <f t="shared" ref="M52:M54" si="63">SUM(D52:L52)</f>
        <v>3</v>
      </c>
      <c r="N52" s="132">
        <f t="shared" ref="N52:N54" si="64">SUM(D52:L52)*C52</f>
        <v>503950.755</v>
      </c>
      <c r="O52" s="136">
        <f t="shared" ref="O52:O54" si="65">C52*D52</f>
        <v>0</v>
      </c>
      <c r="P52" s="136">
        <f t="shared" ref="P52:P54" si="66">C52*E52</f>
        <v>167983.58499999999</v>
      </c>
      <c r="Q52" s="136">
        <f t="shared" ref="Q52:Q54" si="67">C52*F52</f>
        <v>167983.58499999999</v>
      </c>
      <c r="R52" s="136">
        <f t="shared" ref="R52:R54" si="68">C52*G52</f>
        <v>167983.58499999999</v>
      </c>
      <c r="S52" s="136">
        <f t="shared" ref="S52:S54" si="69">C52*H52</f>
        <v>0</v>
      </c>
      <c r="T52" s="136">
        <f t="shared" ref="T52:T54" si="70">C52*I52</f>
        <v>0</v>
      </c>
      <c r="U52" s="136">
        <f t="shared" ref="U52:U54" si="71">C52*J52</f>
        <v>0</v>
      </c>
      <c r="V52" s="136">
        <f t="shared" ref="V52:V54" si="72">C52*K52</f>
        <v>0</v>
      </c>
      <c r="W52" s="136"/>
      <c r="Y52" s="95"/>
      <c r="AA52" s="95"/>
    </row>
    <row r="53" spans="2:27" s="132" customFormat="1" ht="12.75">
      <c r="B53" s="135" t="s">
        <v>303</v>
      </c>
      <c r="C53" s="135">
        <f>H17</f>
        <v>237118.12500000003</v>
      </c>
      <c r="D53" s="135"/>
      <c r="E53" s="215">
        <f>H21</f>
        <v>0</v>
      </c>
      <c r="F53" s="215">
        <f t="shared" si="52"/>
        <v>0</v>
      </c>
      <c r="G53" s="215">
        <f t="shared" si="52"/>
        <v>0</v>
      </c>
      <c r="H53" s="135"/>
      <c r="I53" s="135"/>
      <c r="J53" s="135"/>
      <c r="K53" s="135"/>
      <c r="L53" s="135"/>
      <c r="M53" s="216">
        <f t="shared" si="63"/>
        <v>0</v>
      </c>
      <c r="N53" s="132">
        <f t="shared" si="64"/>
        <v>0</v>
      </c>
      <c r="O53" s="136">
        <f t="shared" si="65"/>
        <v>0</v>
      </c>
      <c r="P53" s="136">
        <f t="shared" si="66"/>
        <v>0</v>
      </c>
      <c r="Q53" s="136">
        <f t="shared" si="67"/>
        <v>0</v>
      </c>
      <c r="R53" s="136">
        <f t="shared" si="68"/>
        <v>0</v>
      </c>
      <c r="S53" s="136">
        <f t="shared" si="69"/>
        <v>0</v>
      </c>
      <c r="T53" s="136">
        <f t="shared" si="70"/>
        <v>0</v>
      </c>
      <c r="U53" s="136">
        <f t="shared" si="71"/>
        <v>0</v>
      </c>
      <c r="V53" s="136">
        <f t="shared" si="72"/>
        <v>0</v>
      </c>
      <c r="W53" s="136"/>
      <c r="Y53" s="95"/>
      <c r="AA53" s="95"/>
    </row>
    <row r="54" spans="2:27" s="132" customFormat="1" ht="12.75">
      <c r="B54" s="135" t="s">
        <v>324</v>
      </c>
      <c r="C54" s="135">
        <f>I17</f>
        <v>774</v>
      </c>
      <c r="D54" s="215">
        <f>I20</f>
        <v>0</v>
      </c>
      <c r="E54" s="215">
        <f>I21</f>
        <v>0</v>
      </c>
      <c r="F54" s="215">
        <f t="shared" si="52"/>
        <v>0</v>
      </c>
      <c r="G54" s="215">
        <f t="shared" si="52"/>
        <v>0</v>
      </c>
      <c r="H54" s="215">
        <f>I24</f>
        <v>0</v>
      </c>
      <c r="I54" s="135"/>
      <c r="J54" s="135"/>
      <c r="K54" s="135"/>
      <c r="L54" s="135"/>
      <c r="M54" s="216">
        <f t="shared" si="63"/>
        <v>0</v>
      </c>
      <c r="N54" s="132">
        <f t="shared" si="64"/>
        <v>0</v>
      </c>
      <c r="O54" s="136">
        <f t="shared" si="65"/>
        <v>0</v>
      </c>
      <c r="P54" s="136">
        <f t="shared" si="66"/>
        <v>0</v>
      </c>
      <c r="Q54" s="136">
        <f t="shared" si="67"/>
        <v>0</v>
      </c>
      <c r="R54" s="136">
        <f t="shared" si="68"/>
        <v>0</v>
      </c>
      <c r="S54" s="136">
        <f t="shared" si="69"/>
        <v>0</v>
      </c>
      <c r="T54" s="136">
        <f t="shared" si="70"/>
        <v>0</v>
      </c>
      <c r="U54" s="136">
        <f t="shared" si="71"/>
        <v>0</v>
      </c>
      <c r="V54" s="136">
        <f t="shared" si="72"/>
        <v>0</v>
      </c>
      <c r="W54" s="136"/>
      <c r="Y54" s="95"/>
      <c r="AA54" s="95"/>
    </row>
    <row r="55" spans="2:27" s="132" customFormat="1" ht="12.75">
      <c r="B55" s="135" t="s">
        <v>336</v>
      </c>
      <c r="C55" s="135">
        <f>J17</f>
        <v>0</v>
      </c>
      <c r="D55" s="135"/>
      <c r="E55" s="215">
        <f>J21</f>
        <v>0</v>
      </c>
      <c r="F55" s="215">
        <f t="shared" si="52"/>
        <v>0</v>
      </c>
      <c r="G55" s="215">
        <f t="shared" si="52"/>
        <v>0</v>
      </c>
      <c r="H55" s="135"/>
      <c r="I55" s="135"/>
      <c r="J55" s="135"/>
      <c r="K55" s="135"/>
      <c r="L55" s="135"/>
      <c r="M55" s="216">
        <f t="shared" si="12"/>
        <v>0</v>
      </c>
      <c r="N55" s="132">
        <f t="shared" si="13"/>
        <v>0</v>
      </c>
      <c r="O55" s="217">
        <f t="shared" si="11"/>
        <v>0</v>
      </c>
      <c r="P55" s="217">
        <f t="shared" si="14"/>
        <v>0</v>
      </c>
      <c r="Q55" s="217">
        <f t="shared" si="15"/>
        <v>0</v>
      </c>
      <c r="R55" s="217">
        <f t="shared" si="16"/>
        <v>0</v>
      </c>
      <c r="S55" s="217">
        <f t="shared" si="17"/>
        <v>0</v>
      </c>
      <c r="T55" s="136">
        <f t="shared" si="18"/>
        <v>0</v>
      </c>
      <c r="U55" s="136">
        <f t="shared" si="19"/>
        <v>0</v>
      </c>
      <c r="V55" s="136">
        <f t="shared" si="20"/>
        <v>0</v>
      </c>
      <c r="W55" s="136"/>
      <c r="Y55" s="95"/>
      <c r="AA55" s="95"/>
    </row>
    <row r="56" spans="2:27" s="132" customFormat="1" ht="12.75">
      <c r="N56" s="134">
        <f>SUM(N38:N55)</f>
        <v>1961090.1060000001</v>
      </c>
      <c r="O56" s="53">
        <f>SUM(O38:O55)</f>
        <v>437800.701</v>
      </c>
      <c r="P56" s="53">
        <f t="shared" ref="P56:W56" si="73">SUM(P38:P55)</f>
        <v>507763.13500000001</v>
      </c>
      <c r="Q56" s="53">
        <f t="shared" si="73"/>
        <v>507763.13500000001</v>
      </c>
      <c r="R56" s="53">
        <f t="shared" si="73"/>
        <v>507763.13500000001</v>
      </c>
      <c r="S56" s="53">
        <f t="shared" si="73"/>
        <v>0</v>
      </c>
      <c r="T56" s="136">
        <f t="shared" si="73"/>
        <v>0</v>
      </c>
      <c r="U56" s="136">
        <f t="shared" si="73"/>
        <v>0</v>
      </c>
      <c r="V56" s="136">
        <f t="shared" si="73"/>
        <v>0</v>
      </c>
      <c r="W56" s="136">
        <f t="shared" si="73"/>
        <v>0</v>
      </c>
      <c r="Y56" s="95"/>
      <c r="AA56" s="95"/>
    </row>
    <row r="57" spans="2:27" s="132" customFormat="1" ht="12.75">
      <c r="Y57" s="95"/>
      <c r="AA57" s="95"/>
    </row>
    <row r="58" spans="2:27" s="132" customFormat="1" ht="12.75">
      <c r="Y58" s="95"/>
      <c r="AA58" s="95"/>
    </row>
    <row r="59" spans="2:27" s="132" customFormat="1" ht="12.75">
      <c r="Y59" s="95"/>
      <c r="AA59" s="95"/>
    </row>
    <row r="60" spans="2:27" s="132" customFormat="1" ht="12.75">
      <c r="Y60" s="95"/>
      <c r="AA60" s="95"/>
    </row>
  </sheetData>
  <phoneticPr fontId="45" type="noConversion"/>
  <pageMargins left="0.7" right="0.7" top="0.75" bottom="0.75" header="0.3" footer="0.3"/>
  <ignoredErrors>
    <ignoredError sqref="B16" formulaRange="1"/>
  </ignoredErrors>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B449"/>
  <sheetViews>
    <sheetView workbookViewId="0">
      <pane xSplit="5" ySplit="1" topLeftCell="F319" activePane="bottomRight" state="frozen"/>
      <selection pane="topRight" activeCell="F1" sqref="F1"/>
      <selection pane="bottomLeft" activeCell="A2" sqref="A2"/>
      <selection pane="bottomRight" activeCell="A61" sqref="A61"/>
    </sheetView>
  </sheetViews>
  <sheetFormatPr defaultColWidth="8.85546875" defaultRowHeight="12.75"/>
  <cols>
    <col min="1" max="1" width="13.42578125" style="54" customWidth="1"/>
    <col min="2" max="2" width="11.85546875" style="95" customWidth="1"/>
    <col min="3" max="4" width="11.28515625" style="54" bestFit="1" customWidth="1"/>
    <col min="5" max="5" width="7.7109375" style="54" bestFit="1" customWidth="1"/>
    <col min="6" max="6" width="9.7109375" style="54" bestFit="1" customWidth="1"/>
    <col min="7" max="7" width="9.28515625" style="54" bestFit="1" customWidth="1"/>
    <col min="8" max="8" width="8.42578125" style="54" bestFit="1" customWidth="1"/>
    <col min="9" max="9" width="9.140625" style="54" bestFit="1" customWidth="1"/>
    <col min="10" max="10" width="9.42578125" style="54" bestFit="1" customWidth="1"/>
    <col min="11" max="12" width="6.7109375" style="54" customWidth="1"/>
    <col min="13" max="13" width="7.7109375" style="95" bestFit="1" customWidth="1"/>
    <col min="14" max="14" width="11.28515625" style="54" customWidth="1"/>
    <col min="15" max="15" width="7.7109375" style="54" bestFit="1" customWidth="1"/>
    <col min="16" max="16" width="9.42578125" style="54" customWidth="1"/>
    <col min="17" max="17" width="13.140625" style="54" customWidth="1"/>
    <col min="18" max="18" width="8.85546875" style="54"/>
    <col min="19" max="19" width="9.28515625" style="54" bestFit="1" customWidth="1"/>
    <col min="20" max="16384" width="8.85546875" style="54"/>
  </cols>
  <sheetData>
    <row r="1" spans="1:16" s="152" customFormat="1" ht="18.75" customHeight="1">
      <c r="A1" s="146"/>
      <c r="B1" s="147"/>
      <c r="C1" s="148"/>
      <c r="D1" s="148"/>
      <c r="E1" s="148"/>
      <c r="F1" s="149" t="s">
        <v>182</v>
      </c>
      <c r="G1" s="149" t="s">
        <v>183</v>
      </c>
      <c r="H1" s="149" t="s">
        <v>184</v>
      </c>
      <c r="I1" s="150" t="s">
        <v>185</v>
      </c>
      <c r="J1" s="151">
        <v>25</v>
      </c>
      <c r="K1" s="151">
        <v>20</v>
      </c>
      <c r="L1" s="151">
        <v>16</v>
      </c>
      <c r="M1" s="151">
        <v>12</v>
      </c>
      <c r="N1" s="151">
        <v>10</v>
      </c>
      <c r="O1" s="151">
        <v>6</v>
      </c>
      <c r="P1" s="148"/>
    </row>
    <row r="2" spans="1:16" ht="17.25" customHeight="1">
      <c r="A2" s="49"/>
      <c r="B2" s="55" t="s">
        <v>245</v>
      </c>
      <c r="C2" s="50"/>
      <c r="D2" s="50"/>
      <c r="E2" s="50"/>
      <c r="F2" s="56"/>
      <c r="G2" s="56"/>
      <c r="H2" s="56"/>
      <c r="I2" s="49"/>
      <c r="J2" s="57"/>
      <c r="K2" s="57"/>
      <c r="L2" s="57"/>
      <c r="M2" s="57"/>
      <c r="N2" s="57"/>
      <c r="O2" s="70"/>
      <c r="P2" s="50"/>
    </row>
    <row r="3" spans="1:16">
      <c r="A3" s="49" t="s">
        <v>186</v>
      </c>
      <c r="B3" s="125"/>
      <c r="C3" s="47"/>
      <c r="D3" s="50"/>
      <c r="E3" s="50"/>
      <c r="F3" s="58">
        <v>0</v>
      </c>
      <c r="G3" s="58"/>
      <c r="H3" s="58"/>
      <c r="I3" s="123"/>
      <c r="J3" s="90"/>
      <c r="K3" s="57"/>
      <c r="L3" s="57">
        <f>B3*C3*5.7</f>
        <v>0</v>
      </c>
      <c r="M3" s="90"/>
      <c r="N3" s="57"/>
      <c r="O3" s="70"/>
      <c r="P3" s="50"/>
    </row>
    <row r="4" spans="1:16">
      <c r="A4" s="49"/>
      <c r="B4" s="125"/>
      <c r="C4" s="60"/>
      <c r="D4" s="50"/>
      <c r="E4" s="50"/>
      <c r="F4" s="58"/>
      <c r="G4" s="56"/>
      <c r="H4" s="56"/>
      <c r="I4" s="49"/>
      <c r="J4" s="59"/>
      <c r="K4" s="57"/>
      <c r="L4" s="157">
        <f>L3*0.009468</f>
        <v>0</v>
      </c>
      <c r="M4" s="57"/>
      <c r="N4" s="57"/>
      <c r="O4" s="70"/>
      <c r="P4" s="50"/>
    </row>
    <row r="5" spans="1:16">
      <c r="A5" s="48" t="s">
        <v>370</v>
      </c>
      <c r="B5" s="48">
        <v>2.17</v>
      </c>
      <c r="C5" s="56">
        <v>2.17</v>
      </c>
      <c r="D5" s="62">
        <v>0.35</v>
      </c>
      <c r="E5" s="63">
        <v>7</v>
      </c>
      <c r="F5" s="58">
        <f t="shared" ref="F5:F11" si="0">E5*C5*B5*1.2</f>
        <v>39.554759999999995</v>
      </c>
      <c r="G5" s="56">
        <f>B5*C5*0.05*E5</f>
        <v>1.6481150000000002</v>
      </c>
      <c r="H5" s="56">
        <f>E5*D5*C5*B5</f>
        <v>11.536804999999999</v>
      </c>
      <c r="I5" s="56">
        <f>(B5+C5)*D5*2*E5</f>
        <v>21.265999999999998</v>
      </c>
      <c r="J5" s="64">
        <f>(B5*0)/6</f>
        <v>0</v>
      </c>
      <c r="K5" s="64">
        <f>(B5*0)/6</f>
        <v>0</v>
      </c>
      <c r="L5" s="64">
        <f>B5*C5*E5*3</f>
        <v>98.886899999999997</v>
      </c>
      <c r="M5" s="126">
        <f>(B5*C5*E5)*0</f>
        <v>0</v>
      </c>
      <c r="N5" s="64">
        <f>(B5*C5*E5*0)</f>
        <v>0</v>
      </c>
      <c r="O5" s="56"/>
      <c r="P5" s="54">
        <f>4+1.2+1.2</f>
        <v>6.4</v>
      </c>
    </row>
    <row r="6" spans="1:16">
      <c r="B6" s="48"/>
      <c r="C6" s="62"/>
      <c r="D6" s="62"/>
      <c r="E6" s="63"/>
      <c r="F6" s="58"/>
      <c r="G6" s="56"/>
      <c r="H6" s="56"/>
      <c r="I6" s="56"/>
      <c r="M6" s="54"/>
      <c r="O6" s="56"/>
    </row>
    <row r="7" spans="1:16">
      <c r="A7" s="56"/>
      <c r="B7" s="48"/>
      <c r="C7" s="62"/>
      <c r="D7" s="56"/>
      <c r="E7" s="65"/>
      <c r="F7" s="58"/>
      <c r="G7" s="172">
        <f>SUM(G5:G6)</f>
        <v>1.6481150000000002</v>
      </c>
      <c r="H7" s="172">
        <f>SUM(H5:H6)</f>
        <v>11.536804999999999</v>
      </c>
      <c r="I7" s="172">
        <f>SUM(I5:I6)</f>
        <v>21.265999999999998</v>
      </c>
      <c r="J7" s="219">
        <f>J5*0.0231</f>
        <v>0</v>
      </c>
      <c r="K7" s="159">
        <f>K5*0.0148</f>
        <v>0</v>
      </c>
      <c r="L7" s="159">
        <f>L5*0.009468</f>
        <v>0.93626116920000002</v>
      </c>
      <c r="M7" s="160">
        <f>M5*0.00533</f>
        <v>0</v>
      </c>
      <c r="N7" s="160">
        <f>N5*0.0038</f>
        <v>0</v>
      </c>
      <c r="O7" s="56"/>
      <c r="P7" s="67">
        <f>5.328*0.001</f>
        <v>5.3280000000000003E-3</v>
      </c>
    </row>
    <row r="8" spans="1:16">
      <c r="A8" s="48" t="s">
        <v>371</v>
      </c>
      <c r="B8" s="48">
        <v>2</v>
      </c>
      <c r="C8" s="56">
        <v>1.45</v>
      </c>
      <c r="D8" s="62">
        <v>0.35</v>
      </c>
      <c r="E8" s="63">
        <v>8</v>
      </c>
      <c r="F8" s="58">
        <f t="shared" si="0"/>
        <v>27.84</v>
      </c>
      <c r="G8" s="56">
        <f>B8*C8*0.05*E8</f>
        <v>1.1599999999999999</v>
      </c>
      <c r="H8" s="56">
        <f>E8*D8*C8*B8</f>
        <v>8.1199999999999992</v>
      </c>
      <c r="I8" s="56">
        <f>(B8+C8)*D8*2*E8</f>
        <v>19.32</v>
      </c>
      <c r="J8" s="64">
        <f>(B8*0)/6</f>
        <v>0</v>
      </c>
      <c r="K8" s="64">
        <f>(B8*0)/6</f>
        <v>0</v>
      </c>
      <c r="L8" s="64">
        <f>B8*C8*E8*0</f>
        <v>0</v>
      </c>
      <c r="M8" s="126">
        <f>(B8*C8*E8)*3.5</f>
        <v>81.2</v>
      </c>
      <c r="N8" s="64">
        <f>(B8*C8*E8*0)</f>
        <v>0</v>
      </c>
      <c r="O8" s="56">
        <v>0</v>
      </c>
    </row>
    <row r="9" spans="1:16">
      <c r="A9" s="48"/>
      <c r="B9" s="48"/>
      <c r="C9" s="62"/>
      <c r="D9" s="62"/>
      <c r="E9" s="63"/>
      <c r="F9" s="58"/>
      <c r="G9" s="56"/>
      <c r="H9" s="56"/>
      <c r="I9" s="56"/>
      <c r="M9" s="54"/>
      <c r="O9" s="56"/>
    </row>
    <row r="10" spans="1:16">
      <c r="A10" s="56"/>
      <c r="B10" s="48"/>
      <c r="C10" s="56"/>
      <c r="D10" s="56"/>
      <c r="E10" s="65"/>
      <c r="F10" s="58"/>
      <c r="G10" s="172">
        <f>SUM(G8:G9)</f>
        <v>1.1599999999999999</v>
      </c>
      <c r="H10" s="172">
        <f t="shared" ref="H10:I10" si="1">SUM(H8:H9)</f>
        <v>8.1199999999999992</v>
      </c>
      <c r="I10" s="172">
        <f t="shared" si="1"/>
        <v>19.32</v>
      </c>
      <c r="J10" s="219">
        <f>J8*0.0231</f>
        <v>0</v>
      </c>
      <c r="K10" s="159">
        <f>K8*0.0148</f>
        <v>0</v>
      </c>
      <c r="L10" s="159">
        <f>L8*0.009468</f>
        <v>0</v>
      </c>
      <c r="M10" s="160">
        <f>M8*0.00533</f>
        <v>0.43279600000000001</v>
      </c>
      <c r="N10" s="160">
        <f>N8*0.0038</f>
        <v>0</v>
      </c>
      <c r="O10" s="56"/>
    </row>
    <row r="11" spans="1:16">
      <c r="A11" s="48" t="s">
        <v>385</v>
      </c>
      <c r="B11" s="62">
        <v>1.8</v>
      </c>
      <c r="C11" s="62">
        <v>1.25</v>
      </c>
      <c r="D11" s="62">
        <v>0.35</v>
      </c>
      <c r="E11" s="63">
        <v>7</v>
      </c>
      <c r="F11" s="58">
        <f t="shared" si="0"/>
        <v>18.899999999999999</v>
      </c>
      <c r="G11" s="56">
        <f>B11*C11*0.05*E11</f>
        <v>0.78749999999999998</v>
      </c>
      <c r="H11" s="56">
        <f>E11*D11*C11*B11</f>
        <v>5.5124999999999993</v>
      </c>
      <c r="I11" s="56">
        <f>(B11+C11)*D11*2*E11</f>
        <v>14.944999999999999</v>
      </c>
      <c r="J11" s="64">
        <f>(B11*0)/6</f>
        <v>0</v>
      </c>
      <c r="K11" s="64">
        <f>(B11*0)/6</f>
        <v>0</v>
      </c>
      <c r="L11" s="64">
        <f>(B11*0)/6</f>
        <v>0</v>
      </c>
      <c r="M11" s="126">
        <f>(B11*C11*E11)*3.5</f>
        <v>55.125</v>
      </c>
      <c r="N11" s="64">
        <f>(B11*C11*E11*0)</f>
        <v>0</v>
      </c>
      <c r="O11" s="56">
        <v>0</v>
      </c>
    </row>
    <row r="12" spans="1:16">
      <c r="A12" s="48"/>
      <c r="B12" s="48"/>
      <c r="C12" s="62"/>
      <c r="D12" s="62"/>
      <c r="E12" s="63"/>
      <c r="F12" s="58"/>
      <c r="G12" s="56"/>
      <c r="H12" s="56"/>
      <c r="I12" s="56"/>
      <c r="M12" s="54"/>
      <c r="O12" s="56"/>
    </row>
    <row r="13" spans="1:16">
      <c r="A13" s="56"/>
      <c r="B13" s="48"/>
      <c r="C13" s="56"/>
      <c r="D13" s="56"/>
      <c r="E13" s="65"/>
      <c r="F13" s="58"/>
      <c r="G13" s="172">
        <f>SUM(G11:G12)</f>
        <v>0.78749999999999998</v>
      </c>
      <c r="H13" s="172">
        <f t="shared" ref="H13:I13" si="2">SUM(H11:H12)</f>
        <v>5.5124999999999993</v>
      </c>
      <c r="I13" s="172">
        <f t="shared" si="2"/>
        <v>14.944999999999999</v>
      </c>
      <c r="J13" s="219">
        <f>J11*0.0231</f>
        <v>0</v>
      </c>
      <c r="K13" s="159">
        <f>K11*0.0148</f>
        <v>0</v>
      </c>
      <c r="L13" s="159">
        <f>L11*0.009468</f>
        <v>0</v>
      </c>
      <c r="M13" s="160">
        <f>M11*0.00533</f>
        <v>0.29381625</v>
      </c>
      <c r="N13" s="160">
        <f>N11*0.0038</f>
        <v>0</v>
      </c>
      <c r="O13" s="56"/>
    </row>
    <row r="14" spans="1:16">
      <c r="A14" s="48" t="s">
        <v>392</v>
      </c>
      <c r="B14" s="48">
        <v>1.3</v>
      </c>
      <c r="C14" s="56">
        <v>1.3</v>
      </c>
      <c r="D14" s="62">
        <v>0.35</v>
      </c>
      <c r="E14" s="63">
        <v>2</v>
      </c>
      <c r="F14" s="58">
        <f>E14*C14*B14*1.2</f>
        <v>4.056</v>
      </c>
      <c r="G14" s="56">
        <f>B14*C14*0.05*E14</f>
        <v>0.16900000000000004</v>
      </c>
      <c r="H14" s="56">
        <f>E14*D14*C14*B14</f>
        <v>1.1829999999999998</v>
      </c>
      <c r="I14" s="56">
        <f>(B14+C14)*D14*2*E14</f>
        <v>3.6399999999999997</v>
      </c>
      <c r="J14" s="64">
        <f>(B14*0)/6</f>
        <v>0</v>
      </c>
      <c r="K14" s="64">
        <f>(B14*0)/6</f>
        <v>0</v>
      </c>
      <c r="L14" s="64">
        <f>B14*C14*E14*0</f>
        <v>0</v>
      </c>
      <c r="M14" s="126">
        <f>(B14*C14*E14)*0</f>
        <v>0</v>
      </c>
      <c r="N14" s="64">
        <f>(B14*C14*E14*3.5)</f>
        <v>11.830000000000002</v>
      </c>
      <c r="O14" s="56"/>
      <c r="P14" s="54">
        <f>4+1.2+1.2</f>
        <v>6.4</v>
      </c>
    </row>
    <row r="15" spans="1:16">
      <c r="B15" s="48"/>
      <c r="C15" s="62"/>
      <c r="D15" s="62"/>
      <c r="E15" s="63"/>
      <c r="F15" s="58"/>
      <c r="G15" s="56"/>
      <c r="H15" s="56"/>
      <c r="I15" s="56"/>
      <c r="M15" s="54"/>
      <c r="O15" s="56"/>
    </row>
    <row r="16" spans="1:16">
      <c r="A16" s="56"/>
      <c r="B16" s="48"/>
      <c r="C16" s="62"/>
      <c r="D16" s="56"/>
      <c r="E16" s="65"/>
      <c r="F16" s="58"/>
      <c r="G16" s="172">
        <f>SUM(G14:G15)</f>
        <v>0.16900000000000004</v>
      </c>
      <c r="H16" s="172">
        <f>SUM(H14:H15)</f>
        <v>1.1829999999999998</v>
      </c>
      <c r="I16" s="172">
        <f>SUM(I14:I15)</f>
        <v>3.6399999999999997</v>
      </c>
      <c r="J16" s="219">
        <f>J14*0.0231</f>
        <v>0</v>
      </c>
      <c r="K16" s="159">
        <f>K14*0.0148</f>
        <v>0</v>
      </c>
      <c r="L16" s="159">
        <f>L14*0.009468</f>
        <v>0</v>
      </c>
      <c r="M16" s="160">
        <f>M14*0.00533</f>
        <v>0</v>
      </c>
      <c r="N16" s="160">
        <f>N14*0.0038</f>
        <v>4.4954000000000008E-2</v>
      </c>
      <c r="O16" s="56"/>
      <c r="P16" s="67">
        <f>5.328*0.001</f>
        <v>5.3280000000000003E-3</v>
      </c>
    </row>
    <row r="17" spans="1:15">
      <c r="A17" s="48" t="s">
        <v>442</v>
      </c>
      <c r="B17" s="48">
        <v>11.893000000000001</v>
      </c>
      <c r="C17" s="56">
        <v>1.5</v>
      </c>
      <c r="D17" s="62">
        <v>0.4</v>
      </c>
      <c r="E17" s="63">
        <v>1</v>
      </c>
      <c r="F17" s="58">
        <f>E17*C17*B17*1.2</f>
        <v>21.407399999999999</v>
      </c>
      <c r="G17" s="56">
        <f>B17*C17*0.05*E17</f>
        <v>0.89197500000000007</v>
      </c>
      <c r="H17" s="56">
        <f>E17*D17*C17*B17</f>
        <v>7.1358000000000015</v>
      </c>
      <c r="I17" s="56">
        <f>(B17+C17)*D17*2*E17</f>
        <v>10.714400000000001</v>
      </c>
      <c r="J17" s="64">
        <f>(B17*0)/6</f>
        <v>0</v>
      </c>
      <c r="K17" s="64">
        <f>(B17*0)/6</f>
        <v>0</v>
      </c>
      <c r="L17" s="64">
        <f>B17*C17*E17*6</f>
        <v>107.03700000000001</v>
      </c>
      <c r="M17" s="126">
        <f>(B17*C17*E17)*0</f>
        <v>0</v>
      </c>
      <c r="N17" s="64">
        <f>(B17*C17*E17*0)</f>
        <v>0</v>
      </c>
      <c r="O17" s="56">
        <v>0</v>
      </c>
    </row>
    <row r="18" spans="1:15">
      <c r="A18" s="48" t="s">
        <v>445</v>
      </c>
      <c r="B18" s="48">
        <v>11.893000000000001</v>
      </c>
      <c r="C18" s="62">
        <v>0.2</v>
      </c>
      <c r="D18" s="62">
        <v>0.45</v>
      </c>
      <c r="E18" s="63">
        <v>1</v>
      </c>
      <c r="F18" s="58"/>
      <c r="G18" s="56"/>
      <c r="H18" s="56">
        <f>E18*D18*C18*B18</f>
        <v>1.0703700000000003</v>
      </c>
      <c r="I18" s="56">
        <f>B18*D18*2</f>
        <v>10.703700000000001</v>
      </c>
      <c r="J18" s="64">
        <f>(B18*0)/6</f>
        <v>0</v>
      </c>
      <c r="K18" s="64">
        <f>(B18*0/6)</f>
        <v>0</v>
      </c>
      <c r="L18" s="64">
        <f>(B18*12)/6</f>
        <v>23.786000000000001</v>
      </c>
      <c r="M18" s="250">
        <f>B18*0/6</f>
        <v>0</v>
      </c>
      <c r="N18" s="64">
        <f>((B18/0.1)*4)/6</f>
        <v>79.286666666666676</v>
      </c>
      <c r="O18" s="56">
        <f>(B18/0.1*0)/6</f>
        <v>0</v>
      </c>
    </row>
    <row r="19" spans="1:15">
      <c r="A19" s="56"/>
      <c r="B19" s="48"/>
      <c r="C19" s="56"/>
      <c r="D19" s="56"/>
      <c r="E19" s="65"/>
      <c r="F19" s="58"/>
      <c r="G19" s="172">
        <f>SUM(G17:G18)</f>
        <v>0.89197500000000007</v>
      </c>
      <c r="H19" s="172">
        <f t="shared" ref="H19:I19" si="3">SUM(H17:H18)</f>
        <v>8.206170000000002</v>
      </c>
      <c r="I19" s="172">
        <f t="shared" si="3"/>
        <v>21.418100000000003</v>
      </c>
      <c r="J19" s="219">
        <f>J17*0.0231</f>
        <v>0</v>
      </c>
      <c r="K19" s="159">
        <f>K17*0.0148</f>
        <v>0</v>
      </c>
      <c r="L19" s="159">
        <f>L17*0.009468</f>
        <v>1.0134263160000001</v>
      </c>
      <c r="M19" s="160">
        <f>M17*0.00533</f>
        <v>0</v>
      </c>
      <c r="N19" s="160">
        <f>N17*0.0038</f>
        <v>0</v>
      </c>
      <c r="O19" s="56"/>
    </row>
    <row r="20" spans="1:15">
      <c r="A20" s="48" t="s">
        <v>186</v>
      </c>
      <c r="B20" s="62">
        <v>12.193</v>
      </c>
      <c r="C20" s="62">
        <v>2.375</v>
      </c>
      <c r="D20" s="62">
        <v>0.3</v>
      </c>
      <c r="E20" s="63">
        <v>1</v>
      </c>
      <c r="F20" s="58">
        <f>E20*C20*B20*1.5</f>
        <v>43.437562499999999</v>
      </c>
      <c r="G20" s="56">
        <f>B20*C20*0.05*E20</f>
        <v>1.4479187500000001</v>
      </c>
      <c r="H20" s="56">
        <f>E20*D20*C20*B20</f>
        <v>8.6875125000000004</v>
      </c>
      <c r="I20" s="56">
        <f>(B20+C20)*D20*2*E20</f>
        <v>8.7408000000000001</v>
      </c>
      <c r="J20" s="64">
        <f>(B20*0)/6</f>
        <v>0</v>
      </c>
      <c r="K20" s="64">
        <f>(B20*0)/6</f>
        <v>0</v>
      </c>
      <c r="L20" s="64">
        <f>(B20*0)/6</f>
        <v>0</v>
      </c>
      <c r="M20" s="126">
        <f>(B20*C20*E20)*3.5</f>
        <v>101.35431250000001</v>
      </c>
      <c r="N20" s="64">
        <f>(B20*C20*E20*0)</f>
        <v>0</v>
      </c>
      <c r="O20" s="56">
        <v>0</v>
      </c>
    </row>
    <row r="21" spans="1:15">
      <c r="A21" s="48" t="s">
        <v>444</v>
      </c>
      <c r="B21" s="62">
        <f>(12.193*2)-(3+4.5)</f>
        <v>16.885999999999999</v>
      </c>
      <c r="C21" s="62">
        <v>0.2</v>
      </c>
      <c r="D21" s="62">
        <v>0.45</v>
      </c>
      <c r="E21" s="63">
        <v>1</v>
      </c>
      <c r="F21" s="58"/>
      <c r="G21" s="56"/>
      <c r="H21" s="56">
        <f>E21*D21*C21*B21</f>
        <v>1.5197400000000001</v>
      </c>
      <c r="I21" s="56">
        <f>B21*D21*2</f>
        <v>15.1974</v>
      </c>
      <c r="J21" s="64">
        <f>(B21*0)/6</f>
        <v>0</v>
      </c>
      <c r="K21" s="64">
        <f>(B21*0/6)</f>
        <v>0</v>
      </c>
      <c r="L21" s="64">
        <f>(B21*18)/6</f>
        <v>50.657999999999994</v>
      </c>
      <c r="M21" s="250">
        <f>B21*0/6</f>
        <v>0</v>
      </c>
      <c r="N21" s="64">
        <f>((B21/0.1)*4)/6</f>
        <v>112.57333333333332</v>
      </c>
      <c r="O21" s="56">
        <f>(B21/0.1*0)/6</f>
        <v>0</v>
      </c>
    </row>
    <row r="22" spans="1:15">
      <c r="B22" s="48"/>
      <c r="C22" s="56"/>
      <c r="D22" s="56"/>
      <c r="E22" s="65"/>
      <c r="F22" s="58"/>
      <c r="G22" s="172">
        <f>SUM(G20:G21)</f>
        <v>1.4479187500000001</v>
      </c>
      <c r="H22" s="172">
        <f t="shared" ref="H22:I22" si="4">SUM(H20:H21)</f>
        <v>10.207252500000001</v>
      </c>
      <c r="I22" s="172">
        <f t="shared" si="4"/>
        <v>23.938200000000002</v>
      </c>
      <c r="J22" s="219">
        <f>J20*0.0231</f>
        <v>0</v>
      </c>
      <c r="K22" s="159">
        <f>K20*0.0148</f>
        <v>0</v>
      </c>
      <c r="L22" s="159">
        <f>L20*0.009468</f>
        <v>0</v>
      </c>
      <c r="M22" s="160">
        <f>M20*0.00533</f>
        <v>0.54021848562499997</v>
      </c>
      <c r="N22" s="160">
        <f>N20+N21*0.0038</f>
        <v>0.42777866666666664</v>
      </c>
      <c r="O22" s="56"/>
    </row>
    <row r="23" spans="1:15">
      <c r="A23" s="48"/>
      <c r="B23" s="62"/>
      <c r="C23" s="62"/>
      <c r="D23" s="62"/>
      <c r="E23" s="63"/>
      <c r="F23" s="58">
        <f t="shared" ref="F23" si="5">E23*C23*B23*0.85</f>
        <v>0</v>
      </c>
      <c r="G23" s="56">
        <f>B23*C23*0.05*E23</f>
        <v>0</v>
      </c>
      <c r="H23" s="56">
        <f>E23*D23*C23*B23</f>
        <v>0</v>
      </c>
      <c r="I23" s="56">
        <f>(B23+C23)*D23*2*E23</f>
        <v>0</v>
      </c>
      <c r="J23" s="64">
        <f>(B23*0)/6</f>
        <v>0</v>
      </c>
      <c r="K23" s="64">
        <f>(B23*0)/6</f>
        <v>0</v>
      </c>
      <c r="L23" s="64">
        <f>(B23*0)/6</f>
        <v>0</v>
      </c>
      <c r="M23" s="126">
        <f>(B23*C23*E23)*3.5</f>
        <v>0</v>
      </c>
      <c r="N23" s="64">
        <f>(B23*C23*E23*0)</f>
        <v>0</v>
      </c>
      <c r="O23" s="56">
        <v>0</v>
      </c>
    </row>
    <row r="24" spans="1:15">
      <c r="A24" s="48"/>
      <c r="B24" s="48"/>
      <c r="C24" s="62"/>
      <c r="D24" s="62"/>
      <c r="E24" s="63"/>
      <c r="F24" s="58"/>
      <c r="G24" s="56"/>
      <c r="H24" s="56"/>
      <c r="I24" s="56"/>
      <c r="M24" s="54"/>
      <c r="O24" s="56"/>
    </row>
    <row r="25" spans="1:15">
      <c r="A25" s="56"/>
      <c r="B25" s="48"/>
      <c r="C25" s="56"/>
      <c r="D25" s="56"/>
      <c r="E25" s="65"/>
      <c r="F25" s="58"/>
      <c r="G25" s="275">
        <f>SUM(G23:G24)</f>
        <v>0</v>
      </c>
      <c r="H25" s="275">
        <f t="shared" ref="H25:I25" si="6">SUM(H23:H24)</f>
        <v>0</v>
      </c>
      <c r="I25" s="275">
        <f t="shared" si="6"/>
        <v>0</v>
      </c>
      <c r="J25" s="219">
        <f>J23*0.0231</f>
        <v>0</v>
      </c>
      <c r="K25" s="159">
        <f>K23*0.0148</f>
        <v>0</v>
      </c>
      <c r="L25" s="159">
        <f>L23*0.009468</f>
        <v>0</v>
      </c>
      <c r="M25" s="160">
        <f>M23*0.00533</f>
        <v>0</v>
      </c>
      <c r="N25" s="160">
        <f>N23*0.0038</f>
        <v>0</v>
      </c>
      <c r="O25" s="56"/>
    </row>
    <row r="26" spans="1:15">
      <c r="A26" s="56"/>
      <c r="B26" s="48"/>
      <c r="C26" s="56"/>
      <c r="D26" s="56"/>
      <c r="E26" s="65"/>
      <c r="F26" s="123"/>
      <c r="G26" s="172">
        <f>G25+G22+G19+G16+G13+G10+G7</f>
        <v>6.1045087500000008</v>
      </c>
      <c r="H26" s="172">
        <f t="shared" ref="H26:N26" si="7">H25+H22+H19+H16+H13+H10+H7</f>
        <v>44.765727500000004</v>
      </c>
      <c r="I26" s="172">
        <f t="shared" si="7"/>
        <v>104.5273</v>
      </c>
      <c r="J26" s="172">
        <f>J25+J22+J19+J16+J13+J10+J7</f>
        <v>0</v>
      </c>
      <c r="K26" s="172">
        <f t="shared" si="7"/>
        <v>0</v>
      </c>
      <c r="L26" s="172">
        <f t="shared" si="7"/>
        <v>1.9496874852000001</v>
      </c>
      <c r="M26" s="172">
        <f t="shared" si="7"/>
        <v>1.2668307356249999</v>
      </c>
      <c r="N26" s="172">
        <f t="shared" si="7"/>
        <v>0.47273266666666663</v>
      </c>
      <c r="O26" s="80"/>
    </row>
    <row r="27" spans="1:15">
      <c r="A27" s="48" t="s">
        <v>386</v>
      </c>
      <c r="B27" s="126">
        <f>5.979+6.079+6.279+6.279+3.5+2.5</f>
        <v>30.616</v>
      </c>
      <c r="C27" s="62">
        <v>0.22500000000000001</v>
      </c>
      <c r="D27" s="62">
        <v>0.45</v>
      </c>
      <c r="E27" s="63">
        <v>1</v>
      </c>
      <c r="F27" s="58">
        <f>E27*C27*B27*0.6</f>
        <v>4.1331600000000002</v>
      </c>
      <c r="G27" s="56">
        <f>B27*0.75*C27*0.05</f>
        <v>0.25832250000000001</v>
      </c>
      <c r="H27" s="56">
        <f>E27*D27*C27*B27</f>
        <v>3.0998700000000001</v>
      </c>
      <c r="I27" s="56">
        <f>B27*D27*2</f>
        <v>27.554400000000001</v>
      </c>
      <c r="J27" s="64">
        <f>(B27*0)/6</f>
        <v>0</v>
      </c>
      <c r="K27" s="64">
        <f>(B27*0/6)</f>
        <v>0</v>
      </c>
      <c r="L27" s="64">
        <f>(B27*18)/6</f>
        <v>91.847999999999999</v>
      </c>
      <c r="M27" s="250">
        <f>B27*0/6</f>
        <v>0</v>
      </c>
      <c r="N27" s="64">
        <f>((B27/0.1)*0)/6</f>
        <v>0</v>
      </c>
      <c r="O27" s="56">
        <f>(B27/0.15*2*2.5)/6</f>
        <v>170.0888888888889</v>
      </c>
    </row>
    <row r="28" spans="1:15">
      <c r="B28" s="126"/>
      <c r="C28" s="56"/>
      <c r="D28" s="56"/>
      <c r="E28" s="65"/>
      <c r="F28" s="58">
        <f t="shared" ref="F28:F29" si="8">E28*C28*B28*0.6</f>
        <v>0</v>
      </c>
      <c r="G28" s="56"/>
      <c r="H28" s="56"/>
      <c r="I28" s="56"/>
      <c r="J28" s="220">
        <f>J27*0.0231</f>
        <v>0</v>
      </c>
      <c r="K28" s="221">
        <f>K27*0.0148</f>
        <v>0</v>
      </c>
      <c r="L28" s="221">
        <f>L27*0.009468</f>
        <v>0.86961686400000004</v>
      </c>
      <c r="M28" s="222">
        <f>M27*0.00533</f>
        <v>0</v>
      </c>
      <c r="N28" s="220">
        <f>N27*0.0038</f>
        <v>0</v>
      </c>
      <c r="O28" s="223">
        <f>O27*0.001332</f>
        <v>0.22655840000000002</v>
      </c>
    </row>
    <row r="29" spans="1:15">
      <c r="A29" s="48" t="s">
        <v>387</v>
      </c>
      <c r="B29" s="126">
        <f>(29.2*3)-3.5+(8.03*8)+5.741</f>
        <v>154.08099999999996</v>
      </c>
      <c r="C29" s="62">
        <v>0.2</v>
      </c>
      <c r="D29" s="62">
        <v>0.45</v>
      </c>
      <c r="E29" s="63">
        <v>1</v>
      </c>
      <c r="F29" s="58">
        <f t="shared" si="8"/>
        <v>18.489719999999995</v>
      </c>
      <c r="G29" s="56">
        <f>B29*0.75*C29*0.05</f>
        <v>1.1556074999999999</v>
      </c>
      <c r="H29" s="56">
        <f>E29*D29*C29*B29</f>
        <v>13.867289999999999</v>
      </c>
      <c r="I29" s="56">
        <f>B29*D29*2</f>
        <v>138.67289999999997</v>
      </c>
      <c r="J29" s="64">
        <f>(B29*0)/6</f>
        <v>0</v>
      </c>
      <c r="K29" s="64">
        <f>(B29*0/6)</f>
        <v>0</v>
      </c>
      <c r="L29" s="64">
        <f>(B29*12)/6</f>
        <v>308.16199999999992</v>
      </c>
      <c r="M29" s="250">
        <f>B29*0/6</f>
        <v>0</v>
      </c>
      <c r="N29" s="64">
        <f>((B29/0.1)*0)/6</f>
        <v>0</v>
      </c>
      <c r="O29" s="56">
        <f>(B29/0.15*2.2*2)/6</f>
        <v>753.28488888888887</v>
      </c>
    </row>
    <row r="30" spans="1:15">
      <c r="B30" s="48"/>
      <c r="C30" s="56"/>
      <c r="D30" s="56"/>
      <c r="E30" s="65"/>
      <c r="F30" s="56"/>
      <c r="G30" s="56"/>
      <c r="H30" s="56"/>
      <c r="I30" s="56"/>
      <c r="J30" s="220">
        <f>J29*0.0231</f>
        <v>0</v>
      </c>
      <c r="K30" s="221">
        <f>K29*0.0148</f>
        <v>0</v>
      </c>
      <c r="L30" s="221">
        <f>L29*0.009468</f>
        <v>2.9176778159999994</v>
      </c>
      <c r="M30" s="222">
        <f>M29*0.00533</f>
        <v>0</v>
      </c>
      <c r="N30" s="220">
        <f>N29*0.0038</f>
        <v>0</v>
      </c>
      <c r="O30" s="223">
        <f>O29*0.001332</f>
        <v>1.0033754720000001</v>
      </c>
    </row>
    <row r="31" spans="1:15">
      <c r="B31" s="125"/>
      <c r="C31" s="50"/>
      <c r="D31" s="50"/>
      <c r="E31" s="218"/>
      <c r="F31" s="56"/>
      <c r="G31" s="56"/>
      <c r="H31" s="56"/>
      <c r="I31" s="56"/>
      <c r="J31" s="158"/>
      <c r="K31" s="157"/>
      <c r="L31" s="157"/>
      <c r="M31" s="160"/>
      <c r="N31" s="158"/>
      <c r="O31" s="56"/>
    </row>
    <row r="32" spans="1:15">
      <c r="A32" s="483" t="s">
        <v>246</v>
      </c>
      <c r="B32" s="484"/>
      <c r="C32" s="484"/>
      <c r="D32" s="484"/>
      <c r="E32" s="485"/>
      <c r="F32" s="58" t="s">
        <v>229</v>
      </c>
      <c r="G32" s="58" t="s">
        <v>230</v>
      </c>
      <c r="H32" s="58"/>
      <c r="I32" s="58"/>
      <c r="J32" s="65"/>
      <c r="K32" s="65"/>
      <c r="L32" s="65"/>
      <c r="M32" s="124"/>
      <c r="N32" s="65"/>
      <c r="O32" s="56"/>
    </row>
    <row r="33" spans="1:17">
      <c r="A33" s="56"/>
      <c r="B33" s="48"/>
      <c r="C33" s="56"/>
      <c r="D33" s="56"/>
      <c r="E33" s="65"/>
      <c r="F33" s="58"/>
      <c r="G33" s="58"/>
      <c r="H33" s="58"/>
      <c r="I33" s="58"/>
      <c r="J33" s="65"/>
      <c r="K33" s="65"/>
      <c r="L33" s="65"/>
      <c r="M33" s="124"/>
      <c r="N33" s="65"/>
      <c r="O33" s="56"/>
    </row>
    <row r="34" spans="1:17" ht="11.25" customHeight="1">
      <c r="A34" s="68">
        <v>69.900000000000006</v>
      </c>
      <c r="B34" s="48"/>
      <c r="C34" s="56"/>
      <c r="D34" s="56"/>
      <c r="E34" s="65"/>
      <c r="F34" s="58"/>
      <c r="G34" s="58"/>
      <c r="H34" s="58"/>
      <c r="I34" s="58"/>
      <c r="J34" s="58"/>
      <c r="K34" s="58"/>
      <c r="L34" s="58"/>
      <c r="M34" s="58"/>
      <c r="N34" s="69"/>
      <c r="O34" s="58"/>
      <c r="Q34" s="54">
        <f>12*3</f>
        <v>36</v>
      </c>
    </row>
    <row r="35" spans="1:17" ht="11.25" customHeight="1">
      <c r="A35" s="48" t="s">
        <v>247</v>
      </c>
      <c r="B35" s="48">
        <v>1.95</v>
      </c>
      <c r="C35" s="56">
        <v>0.15</v>
      </c>
      <c r="D35" s="56">
        <v>0.3</v>
      </c>
      <c r="E35" s="65">
        <v>1</v>
      </c>
      <c r="F35" s="56">
        <v>0</v>
      </c>
      <c r="G35" s="56">
        <v>0</v>
      </c>
      <c r="H35" s="56">
        <f>E35*D35*C35*B35</f>
        <v>8.7749999999999995E-2</v>
      </c>
      <c r="I35" s="56">
        <f>B35*2*C35+(0.25*1.7*2)</f>
        <v>1.4350000000000001</v>
      </c>
      <c r="J35" s="64"/>
      <c r="K35" s="64"/>
      <c r="L35" s="56"/>
      <c r="M35" s="126">
        <f>B35*C35*12</f>
        <v>3.51</v>
      </c>
      <c r="N35" s="64">
        <f>C35*B35*4</f>
        <v>1.17</v>
      </c>
      <c r="O35" s="58"/>
    </row>
    <row r="36" spans="1:17" ht="11.25" customHeight="1">
      <c r="A36" s="56"/>
      <c r="B36" s="48"/>
      <c r="C36" s="56"/>
      <c r="D36" s="56"/>
      <c r="E36" s="65"/>
      <c r="F36" s="56"/>
      <c r="G36" s="56"/>
      <c r="H36" s="56">
        <f>E36*D36*C36*B36</f>
        <v>0</v>
      </c>
      <c r="I36" s="56">
        <f>B36*2*C36</f>
        <v>0</v>
      </c>
      <c r="J36" s="64"/>
      <c r="K36" s="64"/>
      <c r="L36" s="56"/>
      <c r="M36" s="126">
        <f>M35*5.328</f>
        <v>18.701280000000001</v>
      </c>
      <c r="N36" s="64">
        <f>N35*3.778</f>
        <v>4.4202599999999999</v>
      </c>
      <c r="O36" s="58"/>
    </row>
    <row r="37" spans="1:17" ht="11.25" customHeight="1">
      <c r="A37" s="56"/>
      <c r="B37" s="48"/>
      <c r="C37" s="56"/>
      <c r="D37" s="56"/>
      <c r="E37" s="65"/>
      <c r="F37" s="56"/>
      <c r="G37" s="56"/>
      <c r="H37" s="58">
        <f>SUM(H35:H36)</f>
        <v>8.7749999999999995E-2</v>
      </c>
      <c r="I37" s="58">
        <f>SUM(I35:I36)</f>
        <v>1.4350000000000001</v>
      </c>
      <c r="J37" s="69"/>
      <c r="K37" s="57"/>
      <c r="L37" s="70"/>
      <c r="M37" s="66">
        <f>M36*0.001</f>
        <v>1.8701280000000001E-2</v>
      </c>
      <c r="N37" s="66">
        <f>N36*0.001</f>
        <v>4.4202599999999996E-3</v>
      </c>
      <c r="O37" s="58"/>
    </row>
    <row r="38" spans="1:17" ht="11.25" customHeight="1">
      <c r="A38" s="56"/>
      <c r="B38" s="48"/>
      <c r="C38" s="56"/>
      <c r="D38" s="56"/>
      <c r="E38" s="65"/>
      <c r="F38" s="56"/>
      <c r="G38" s="56"/>
      <c r="H38" s="56"/>
      <c r="I38" s="56"/>
      <c r="J38" s="64"/>
      <c r="K38" s="71"/>
      <c r="L38" s="50"/>
      <c r="O38" s="58"/>
    </row>
    <row r="39" spans="1:17" ht="11.25" customHeight="1">
      <c r="A39" s="56"/>
      <c r="B39" s="48"/>
      <c r="C39" s="56"/>
      <c r="D39" s="56"/>
      <c r="E39" s="65"/>
      <c r="F39" s="56"/>
      <c r="G39" s="56"/>
      <c r="H39" s="56">
        <f>F39-G39</f>
        <v>0</v>
      </c>
      <c r="I39" s="56"/>
      <c r="J39" s="64"/>
      <c r="K39" s="71"/>
      <c r="L39" s="50"/>
      <c r="O39" s="58"/>
    </row>
    <row r="40" spans="1:17" ht="11.25" customHeight="1">
      <c r="A40" s="56"/>
      <c r="B40" s="48"/>
      <c r="C40" s="56"/>
      <c r="D40" s="56"/>
      <c r="E40" s="65"/>
      <c r="F40" s="58"/>
      <c r="G40" s="58">
        <f>0.819*2</f>
        <v>1.6379999999999999</v>
      </c>
      <c r="H40" s="58"/>
      <c r="I40" s="58"/>
      <c r="J40" s="58"/>
      <c r="K40" s="70"/>
      <c r="L40" s="70"/>
      <c r="O40" s="58"/>
    </row>
    <row r="41" spans="1:17" ht="11.25" customHeight="1">
      <c r="A41" s="56"/>
      <c r="B41" s="126"/>
      <c r="C41" s="56"/>
      <c r="D41" s="65"/>
      <c r="E41" s="62"/>
      <c r="F41" s="56"/>
      <c r="G41" s="56">
        <f>G40*3</f>
        <v>4.9139999999999997</v>
      </c>
      <c r="H41" s="56"/>
      <c r="I41" s="56"/>
      <c r="J41" s="64"/>
      <c r="K41" s="71"/>
      <c r="L41" s="72"/>
      <c r="M41" s="126"/>
      <c r="N41" s="73"/>
      <c r="O41" s="56"/>
    </row>
    <row r="42" spans="1:17">
      <c r="A42" s="56" t="s">
        <v>187</v>
      </c>
      <c r="B42" s="126">
        <v>12</v>
      </c>
      <c r="C42" s="56">
        <v>0.22500000000000001</v>
      </c>
      <c r="D42" s="56">
        <v>0.42499999999999999</v>
      </c>
      <c r="E42" s="62">
        <f>1.5-0.9</f>
        <v>0.6</v>
      </c>
      <c r="F42" s="56"/>
      <c r="G42" s="56"/>
      <c r="H42" s="56">
        <f>E42*D42*C42*B42</f>
        <v>0.6885</v>
      </c>
      <c r="I42" s="56">
        <f>(C42+D42*2)*B42*E42</f>
        <v>7.7399999999999984</v>
      </c>
      <c r="J42" s="64">
        <f>(B42*0*3.5)/6</f>
        <v>0</v>
      </c>
      <c r="K42" s="64">
        <f>(B42*0*3.5)/6</f>
        <v>0</v>
      </c>
      <c r="L42" s="64">
        <f>(B42*10*3.75)/6</f>
        <v>75</v>
      </c>
      <c r="M42" s="64">
        <f>(B42*0*4.5)/6</f>
        <v>0</v>
      </c>
      <c r="N42" s="73"/>
      <c r="O42" s="56">
        <f>(E42/0.15*4*B42)/6</f>
        <v>32</v>
      </c>
      <c r="P42" s="54">
        <f>(0.3+0.24)*3</f>
        <v>1.62</v>
      </c>
      <c r="Q42" s="54">
        <f>0.22+0.22+0.35+0.2+0.35+0.25</f>
        <v>1.5899999999999999</v>
      </c>
    </row>
    <row r="43" spans="1:17">
      <c r="A43" s="56"/>
      <c r="B43" s="126"/>
      <c r="C43" s="56"/>
      <c r="D43" s="65"/>
      <c r="E43" s="62"/>
      <c r="F43" s="56"/>
      <c r="G43" s="56"/>
      <c r="H43" s="56">
        <f t="shared" ref="H43:H47" si="9">E43*D43*C43*B43</f>
        <v>0</v>
      </c>
      <c r="I43" s="56">
        <f t="shared" ref="I43:I47" si="10">(C43+D43*2)*B43*E43</f>
        <v>0</v>
      </c>
      <c r="J43" s="66">
        <f>J42*0.0231</f>
        <v>0</v>
      </c>
      <c r="K43" s="75">
        <f>K42*0.0148</f>
        <v>0</v>
      </c>
      <c r="L43" s="61">
        <f>L42*0.009468</f>
        <v>0.71010000000000006</v>
      </c>
      <c r="M43" s="61">
        <f>M42*0.00533</f>
        <v>0</v>
      </c>
      <c r="N43" s="56"/>
      <c r="O43" s="62">
        <f>O42*0.001332</f>
        <v>4.2624000000000002E-2</v>
      </c>
    </row>
    <row r="44" spans="1:17">
      <c r="A44" s="56" t="s">
        <v>188</v>
      </c>
      <c r="B44" s="126">
        <v>19</v>
      </c>
      <c r="C44" s="56">
        <v>0.2</v>
      </c>
      <c r="D44" s="65">
        <v>0.35</v>
      </c>
      <c r="E44" s="62">
        <f>1.5-0.9</f>
        <v>0.6</v>
      </c>
      <c r="F44" s="56"/>
      <c r="G44" s="56"/>
      <c r="H44" s="56">
        <f t="shared" si="9"/>
        <v>0.79800000000000004</v>
      </c>
      <c r="I44" s="56">
        <f t="shared" si="10"/>
        <v>10.259999999999998</v>
      </c>
      <c r="J44" s="64"/>
      <c r="K44" s="64">
        <f>(B44*0*3.5)/6</f>
        <v>0</v>
      </c>
      <c r="L44" s="64">
        <f>(B44*8*3.5)/6</f>
        <v>88.666666666666671</v>
      </c>
      <c r="M44" s="126"/>
      <c r="N44" s="56"/>
      <c r="O44" s="56">
        <f>(E44/0.15*3.5*B44)/6</f>
        <v>44.333333333333336</v>
      </c>
      <c r="Q44" s="54">
        <f>0.37+0.37+0.37+0.1</f>
        <v>1.21</v>
      </c>
    </row>
    <row r="45" spans="1:17">
      <c r="B45" s="126"/>
      <c r="C45" s="56"/>
      <c r="D45" s="65"/>
      <c r="E45" s="62"/>
      <c r="F45" s="56"/>
      <c r="G45" s="56"/>
      <c r="H45" s="56">
        <f t="shared" si="9"/>
        <v>0</v>
      </c>
      <c r="I45" s="56">
        <f t="shared" si="10"/>
        <v>0</v>
      </c>
      <c r="J45" s="64"/>
      <c r="K45" s="75">
        <f>K44*0.0148</f>
        <v>0</v>
      </c>
      <c r="L45" s="61">
        <f>L44*0.009468</f>
        <v>0.83949600000000013</v>
      </c>
      <c r="M45" s="126"/>
      <c r="N45" s="56"/>
      <c r="O45" s="62">
        <f>O44*0.001332</f>
        <v>5.9052000000000007E-2</v>
      </c>
      <c r="Q45" s="54">
        <f>0.4+0.35</f>
        <v>0.75</v>
      </c>
    </row>
    <row r="46" spans="1:17">
      <c r="A46" s="56" t="s">
        <v>189</v>
      </c>
      <c r="B46" s="126"/>
      <c r="C46" s="56"/>
      <c r="D46" s="65"/>
      <c r="E46" s="62"/>
      <c r="F46" s="56"/>
      <c r="G46" s="56"/>
      <c r="H46" s="56">
        <f t="shared" si="9"/>
        <v>0</v>
      </c>
      <c r="I46" s="56">
        <f t="shared" si="10"/>
        <v>0</v>
      </c>
      <c r="J46" s="61"/>
      <c r="K46" s="64">
        <f>(B48*10*3.5)/6</f>
        <v>0</v>
      </c>
      <c r="L46" s="64">
        <f>(B46*6*3.5)/6</f>
        <v>0</v>
      </c>
      <c r="M46" s="64">
        <f>(B46*0*4.5)/6</f>
        <v>0</v>
      </c>
      <c r="N46" s="56"/>
      <c r="O46" s="56">
        <f>(E46/0.15*1.8*B46)/6</f>
        <v>0</v>
      </c>
    </row>
    <row r="47" spans="1:17">
      <c r="A47" s="56"/>
      <c r="B47" s="126"/>
      <c r="C47" s="56"/>
      <c r="D47" s="65"/>
      <c r="E47" s="62"/>
      <c r="F47" s="56"/>
      <c r="G47" s="56"/>
      <c r="H47" s="56">
        <f t="shared" si="9"/>
        <v>0</v>
      </c>
      <c r="I47" s="56">
        <f t="shared" si="10"/>
        <v>0</v>
      </c>
      <c r="J47" s="64"/>
      <c r="K47" s="75">
        <f>K46*0.0148</f>
        <v>0</v>
      </c>
      <c r="L47" s="61">
        <f>L46*0.009468</f>
        <v>0</v>
      </c>
      <c r="M47" s="61">
        <f>M46*0.00533</f>
        <v>0</v>
      </c>
      <c r="N47" s="56"/>
      <c r="O47" s="62">
        <f>O46*0.001332</f>
        <v>0</v>
      </c>
      <c r="Q47" s="64"/>
    </row>
    <row r="48" spans="1:17">
      <c r="A48" s="48" t="s">
        <v>284</v>
      </c>
      <c r="B48" s="126"/>
      <c r="C48" s="56"/>
      <c r="D48" s="65"/>
      <c r="E48" s="62"/>
      <c r="F48" s="56"/>
      <c r="G48" s="56"/>
      <c r="H48" s="56">
        <f>E48*D48*C48*B48</f>
        <v>0</v>
      </c>
      <c r="I48" s="56">
        <f>(C48+D48*2)*B48*E48</f>
        <v>0</v>
      </c>
      <c r="J48" s="61"/>
      <c r="K48" s="64">
        <f>(B48*10*3.5)/6</f>
        <v>0</v>
      </c>
      <c r="L48" s="64">
        <f>(B48*10*3.5)/6</f>
        <v>0</v>
      </c>
      <c r="M48" s="126"/>
      <c r="N48" s="56"/>
      <c r="O48" s="56">
        <f>(E48/0.15*1.75*B48)/6</f>
        <v>0</v>
      </c>
      <c r="Q48" s="65"/>
    </row>
    <row r="49" spans="1:17">
      <c r="B49" s="126"/>
      <c r="C49" s="56"/>
      <c r="D49" s="65"/>
      <c r="E49" s="62"/>
      <c r="F49" s="56"/>
      <c r="G49" s="56"/>
      <c r="H49" s="56">
        <f t="shared" ref="H49:H51" si="11">E49*D49*C49*B49</f>
        <v>0</v>
      </c>
      <c r="I49" s="56">
        <f t="shared" ref="I49:I51" si="12">(C49+D49*2)*B49*E49</f>
        <v>0</v>
      </c>
      <c r="J49" s="64"/>
      <c r="K49" s="75">
        <f>K48*0.0148</f>
        <v>0</v>
      </c>
      <c r="L49" s="61">
        <f>L48*0.009468</f>
        <v>0</v>
      </c>
      <c r="M49" s="126"/>
      <c r="N49" s="56"/>
      <c r="O49" s="62">
        <f>O48*0.001332</f>
        <v>0</v>
      </c>
    </row>
    <row r="50" spans="1:17">
      <c r="A50" s="48" t="s">
        <v>304</v>
      </c>
      <c r="B50" s="126"/>
      <c r="C50" s="56"/>
      <c r="D50" s="65"/>
      <c r="E50" s="62"/>
      <c r="F50" s="56"/>
      <c r="G50" s="56"/>
      <c r="H50" s="56">
        <f t="shared" si="11"/>
        <v>0</v>
      </c>
      <c r="I50" s="56">
        <f t="shared" si="12"/>
        <v>0</v>
      </c>
      <c r="J50" s="64"/>
      <c r="K50" s="71"/>
      <c r="L50" s="72"/>
      <c r="M50" s="126"/>
      <c r="N50" s="56"/>
      <c r="O50" s="56"/>
    </row>
    <row r="51" spans="1:17">
      <c r="B51" s="126"/>
      <c r="C51" s="56"/>
      <c r="D51" s="65"/>
      <c r="E51" s="62"/>
      <c r="F51" s="56"/>
      <c r="G51" s="56"/>
      <c r="H51" s="56">
        <f t="shared" si="11"/>
        <v>0</v>
      </c>
      <c r="I51" s="56">
        <f t="shared" si="12"/>
        <v>0</v>
      </c>
      <c r="J51" s="64"/>
      <c r="K51" s="64">
        <f>(B51*12*3.5)/6</f>
        <v>0</v>
      </c>
      <c r="M51" s="126"/>
      <c r="N51" s="56"/>
      <c r="O51" s="56">
        <f>(E51/0.15*2*B51)/6</f>
        <v>0</v>
      </c>
      <c r="Q51" s="65"/>
    </row>
    <row r="52" spans="1:17">
      <c r="A52" s="48" t="s">
        <v>305</v>
      </c>
      <c r="B52" s="126"/>
      <c r="C52" s="56"/>
      <c r="D52" s="65"/>
      <c r="E52" s="62"/>
      <c r="F52" s="56"/>
      <c r="G52" s="56"/>
      <c r="H52" s="56">
        <f t="shared" ref="H52:H53" si="13">E52*D52*C52*B52</f>
        <v>0</v>
      </c>
      <c r="I52" s="56">
        <f t="shared" ref="I52:I53" si="14">(C52+D52*2)*B52*E52</f>
        <v>0</v>
      </c>
      <c r="J52" s="66"/>
      <c r="K52" s="75">
        <f>K51*0.0148</f>
        <v>0</v>
      </c>
      <c r="M52" s="126"/>
      <c r="N52" s="56"/>
      <c r="O52" s="62">
        <f>O51*0.001332</f>
        <v>0</v>
      </c>
    </row>
    <row r="53" spans="1:17">
      <c r="A53" s="56"/>
      <c r="B53" s="126"/>
      <c r="C53" s="56"/>
      <c r="D53" s="65"/>
      <c r="E53" s="62"/>
      <c r="F53" s="56"/>
      <c r="G53" s="56"/>
      <c r="H53" s="56">
        <f t="shared" si="13"/>
        <v>0</v>
      </c>
      <c r="I53" s="56">
        <f t="shared" si="14"/>
        <v>0</v>
      </c>
      <c r="J53" s="64"/>
      <c r="K53" s="75">
        <f>K52*0.0148</f>
        <v>0</v>
      </c>
      <c r="L53" s="61">
        <f>L52*0.009468</f>
        <v>0</v>
      </c>
      <c r="M53" s="61">
        <f>M52*0.00533</f>
        <v>0</v>
      </c>
      <c r="N53" s="56"/>
      <c r="O53" s="62">
        <f>O52*0.001332</f>
        <v>0</v>
      </c>
      <c r="Q53" s="64"/>
    </row>
    <row r="54" spans="1:17">
      <c r="B54" s="126"/>
      <c r="C54" s="56"/>
      <c r="D54" s="65"/>
      <c r="E54" s="62"/>
      <c r="F54" s="56"/>
      <c r="G54" s="56"/>
      <c r="H54" s="185">
        <f>SUM(H42:H53)</f>
        <v>1.4864999999999999</v>
      </c>
      <c r="I54" s="185">
        <f>SUM(I42:I53)</f>
        <v>17.999999999999996</v>
      </c>
      <c r="J54" s="185">
        <f t="shared" ref="J54:K54" si="15">J53+J51+J49+J47+J45+J43</f>
        <v>0</v>
      </c>
      <c r="K54" s="185">
        <f t="shared" si="15"/>
        <v>0</v>
      </c>
      <c r="L54" s="185">
        <f>L53+L51+L49+L47+L45+L43</f>
        <v>1.5495960000000002</v>
      </c>
      <c r="M54" s="185">
        <f t="shared" ref="M54" si="16">M53+M51+M49+M47+M45+M43</f>
        <v>0</v>
      </c>
      <c r="N54" s="185">
        <f t="shared" ref="N54" si="17">N53+N51+N49+N47+N45+N43</f>
        <v>0</v>
      </c>
      <c r="O54" s="185">
        <f t="shared" ref="O54" si="18">O53+O51+O49+O47+O45+O43</f>
        <v>0.10167600000000002</v>
      </c>
    </row>
    <row r="55" spans="1:17">
      <c r="A55" s="56" t="s">
        <v>285</v>
      </c>
      <c r="B55" s="126"/>
      <c r="C55" s="56"/>
      <c r="D55" s="65"/>
      <c r="E55" s="62">
        <f>1.75-0.4</f>
        <v>1.35</v>
      </c>
      <c r="F55" s="56"/>
      <c r="G55" s="56"/>
      <c r="H55" s="48">
        <f>E55*D55*C55*B55</f>
        <v>0</v>
      </c>
      <c r="I55" s="48">
        <f>B55*E55*2</f>
        <v>0</v>
      </c>
      <c r="J55" s="126"/>
      <c r="K55" s="154"/>
      <c r="L55" s="155"/>
      <c r="M55" s="124">
        <f>(B55*E55*3)*0.00533</f>
        <v>0</v>
      </c>
      <c r="N55" s="124">
        <f>(B55*E55)*3.25*0.0038</f>
        <v>0</v>
      </c>
      <c r="O55" s="56"/>
    </row>
    <row r="56" spans="1:17">
      <c r="A56" s="56"/>
      <c r="B56" s="126">
        <f>4.5+(1.75*2)</f>
        <v>8</v>
      </c>
      <c r="C56" s="56">
        <v>0.15</v>
      </c>
      <c r="D56" s="65">
        <v>1</v>
      </c>
      <c r="E56" s="62">
        <f>1.75-0.4</f>
        <v>1.35</v>
      </c>
      <c r="F56" s="56"/>
      <c r="G56" s="56"/>
      <c r="H56" s="48">
        <f>E56*D56*C56*B56</f>
        <v>1.62</v>
      </c>
      <c r="I56" s="48">
        <f>B56*E56*2</f>
        <v>21.6</v>
      </c>
      <c r="J56" s="126"/>
      <c r="K56" s="154"/>
      <c r="L56" s="155"/>
      <c r="M56" s="124">
        <f>(B56*E56*3)*0.00533</f>
        <v>0.17269200000000001</v>
      </c>
      <c r="N56" s="124">
        <f>(B56*E56)*3.25*0.0038</f>
        <v>0.13338</v>
      </c>
      <c r="O56" s="56"/>
      <c r="Q56" s="65"/>
    </row>
    <row r="57" spans="1:17">
      <c r="A57" s="56"/>
      <c r="B57" s="126"/>
      <c r="C57" s="56"/>
      <c r="D57" s="65"/>
      <c r="E57" s="56"/>
      <c r="F57" s="56"/>
      <c r="G57" s="56"/>
      <c r="H57" s="166">
        <f>SUM(H55:H56)</f>
        <v>1.62</v>
      </c>
      <c r="I57" s="166">
        <f t="shared" ref="I57:N57" si="19">SUM(I55:I56)</f>
        <v>21.6</v>
      </c>
      <c r="J57" s="166">
        <f t="shared" si="19"/>
        <v>0</v>
      </c>
      <c r="K57" s="166">
        <f>SUM(K55:K56)</f>
        <v>0</v>
      </c>
      <c r="L57" s="166">
        <f t="shared" si="19"/>
        <v>0</v>
      </c>
      <c r="M57" s="166">
        <f t="shared" si="19"/>
        <v>0.17269200000000001</v>
      </c>
      <c r="N57" s="166">
        <f t="shared" si="19"/>
        <v>0.13338</v>
      </c>
      <c r="O57" s="62"/>
    </row>
    <row r="58" spans="1:17">
      <c r="A58" s="56"/>
      <c r="B58" s="126"/>
      <c r="C58" s="56"/>
      <c r="D58" s="65"/>
      <c r="E58" s="56"/>
      <c r="F58" s="56"/>
      <c r="G58" s="56"/>
      <c r="H58" s="56"/>
      <c r="I58" s="56"/>
      <c r="J58" s="66"/>
      <c r="K58" s="71"/>
      <c r="L58" s="76"/>
      <c r="M58" s="126"/>
      <c r="N58" s="56"/>
      <c r="O58" s="56"/>
    </row>
    <row r="59" spans="1:17">
      <c r="A59" s="48"/>
      <c r="B59" s="126"/>
      <c r="C59" s="56"/>
      <c r="D59" s="65"/>
      <c r="E59" s="62"/>
      <c r="F59" s="56"/>
      <c r="G59" s="56"/>
      <c r="H59" s="48"/>
      <c r="I59" s="48"/>
      <c r="J59" s="126"/>
      <c r="K59" s="154"/>
      <c r="L59" s="155"/>
      <c r="M59" s="124"/>
      <c r="N59" s="124"/>
      <c r="O59" s="56"/>
    </row>
    <row r="60" spans="1:17">
      <c r="A60" s="48"/>
      <c r="B60" s="126"/>
      <c r="C60" s="56"/>
      <c r="D60" s="65"/>
      <c r="E60" s="62"/>
      <c r="F60" s="56"/>
      <c r="G60" s="56"/>
      <c r="H60" s="48"/>
      <c r="I60" s="48"/>
      <c r="J60" s="126"/>
      <c r="K60" s="154"/>
      <c r="L60" s="155"/>
      <c r="M60" s="124"/>
      <c r="N60" s="124"/>
      <c r="O60" s="56"/>
    </row>
    <row r="61" spans="1:17">
      <c r="A61" s="48" t="s">
        <v>443</v>
      </c>
      <c r="B61" s="126"/>
      <c r="C61" s="56"/>
      <c r="D61" s="65"/>
      <c r="E61" s="62"/>
      <c r="F61" s="56"/>
      <c r="G61" s="56"/>
      <c r="H61" s="48"/>
      <c r="I61" s="48"/>
      <c r="J61" s="126"/>
      <c r="K61" s="154"/>
      <c r="L61" s="155"/>
      <c r="M61" s="124"/>
      <c r="N61" s="124"/>
      <c r="O61" s="56"/>
      <c r="Q61" s="65"/>
    </row>
    <row r="62" spans="1:17">
      <c r="A62" s="56"/>
      <c r="B62" s="126"/>
      <c r="C62" s="56"/>
      <c r="D62" s="65"/>
      <c r="E62" s="56"/>
      <c r="F62" s="56"/>
      <c r="G62" s="56"/>
      <c r="H62" s="166">
        <f t="shared" ref="H62:L62" si="20">SUM(H59:H61)</f>
        <v>0</v>
      </c>
      <c r="I62" s="166">
        <f t="shared" si="20"/>
        <v>0</v>
      </c>
      <c r="J62" s="166">
        <f t="shared" si="20"/>
        <v>0</v>
      </c>
      <c r="K62" s="166">
        <f t="shared" si="20"/>
        <v>0</v>
      </c>
      <c r="L62" s="166">
        <f t="shared" si="20"/>
        <v>0</v>
      </c>
      <c r="M62" s="166">
        <f>SUM(M59:M61)</f>
        <v>0</v>
      </c>
      <c r="N62" s="166">
        <f>SUM(N59:N61)</f>
        <v>0</v>
      </c>
      <c r="O62" s="62"/>
    </row>
    <row r="63" spans="1:17">
      <c r="A63" s="56"/>
      <c r="B63" s="126"/>
      <c r="C63" s="56"/>
      <c r="D63" s="65"/>
      <c r="E63" s="56"/>
      <c r="F63" s="56"/>
      <c r="G63" s="56"/>
      <c r="H63" s="166"/>
      <c r="I63" s="166"/>
      <c r="J63" s="166"/>
      <c r="K63" s="174"/>
      <c r="L63" s="174"/>
      <c r="M63" s="166"/>
      <c r="N63" s="166"/>
      <c r="O63" s="62"/>
    </row>
    <row r="64" spans="1:17" ht="18">
      <c r="A64" s="56"/>
      <c r="B64" s="77" t="s">
        <v>223</v>
      </c>
      <c r="C64" s="56"/>
      <c r="D64" s="65"/>
      <c r="E64" s="56">
        <f>1.2+3.2</f>
        <v>4.4000000000000004</v>
      </c>
      <c r="F64" s="56"/>
      <c r="G64" s="56"/>
      <c r="H64" s="56"/>
      <c r="I64" s="56"/>
      <c r="J64" s="64"/>
      <c r="K64" s="71"/>
      <c r="L64" s="61">
        <f>L58*0.009468</f>
        <v>0</v>
      </c>
      <c r="M64" s="126"/>
      <c r="N64" s="56"/>
      <c r="O64" s="62">
        <f>O58*0.001332</f>
        <v>0</v>
      </c>
    </row>
    <row r="65" spans="1:17">
      <c r="A65" s="56" t="s">
        <v>187</v>
      </c>
      <c r="B65" s="126">
        <v>12</v>
      </c>
      <c r="C65" s="56">
        <v>0.22500000000000001</v>
      </c>
      <c r="D65" s="56">
        <v>0.42499999999999999</v>
      </c>
      <c r="E65" s="62">
        <f>3-0.475</f>
        <v>2.5249999999999999</v>
      </c>
      <c r="F65" s="56"/>
      <c r="G65" s="56"/>
      <c r="H65" s="56">
        <f>E65*D65*C65*B65</f>
        <v>2.8974374999999997</v>
      </c>
      <c r="I65" s="56">
        <f>(C65+D65*2)*B65*E65</f>
        <v>32.572499999999998</v>
      </c>
      <c r="J65" s="64">
        <f>(B65*0*3.5)/6</f>
        <v>0</v>
      </c>
      <c r="K65" s="64">
        <f>(B65*0*3.5)/6</f>
        <v>0</v>
      </c>
      <c r="L65" s="64">
        <f>(B65*10*3.75)/6</f>
        <v>75</v>
      </c>
      <c r="M65" s="64">
        <f>(B65*0*4.5)/6</f>
        <v>0</v>
      </c>
      <c r="N65" s="73"/>
      <c r="O65" s="56">
        <f>(E65/0.15*4*B65)/6</f>
        <v>134.66666666666666</v>
      </c>
      <c r="P65" s="54">
        <f>(0.3+0.24)*3</f>
        <v>1.62</v>
      </c>
      <c r="Q65" s="54">
        <f>0.22+0.22+0.35+0.2+0.35+0.25</f>
        <v>1.5899999999999999</v>
      </c>
    </row>
    <row r="66" spans="1:17">
      <c r="A66" s="56"/>
      <c r="B66" s="126"/>
      <c r="C66" s="56"/>
      <c r="D66" s="65"/>
      <c r="E66" s="62"/>
      <c r="F66" s="56"/>
      <c r="G66" s="56"/>
      <c r="H66" s="56">
        <f t="shared" ref="H66:H70" si="21">E66*D66*C66*B66</f>
        <v>0</v>
      </c>
      <c r="I66" s="56">
        <f t="shared" ref="I66:I70" si="22">(C66+D66*2)*B66*E66</f>
        <v>0</v>
      </c>
      <c r="J66" s="66">
        <f>J65*0.0231</f>
        <v>0</v>
      </c>
      <c r="K66" s="75">
        <f>K65*0.0148</f>
        <v>0</v>
      </c>
      <c r="L66" s="61">
        <f>L65*0.009468</f>
        <v>0.71010000000000006</v>
      </c>
      <c r="M66" s="61">
        <f>M65*0.00533</f>
        <v>0</v>
      </c>
      <c r="N66" s="56"/>
      <c r="O66" s="62">
        <f>O65*0.001332</f>
        <v>0.17937600000000001</v>
      </c>
    </row>
    <row r="67" spans="1:17">
      <c r="A67" s="56" t="s">
        <v>188</v>
      </c>
      <c r="B67" s="126">
        <v>19</v>
      </c>
      <c r="C67" s="56">
        <v>0.2</v>
      </c>
      <c r="D67" s="65">
        <v>0.35</v>
      </c>
      <c r="E67" s="62">
        <f>3-0.475</f>
        <v>2.5249999999999999</v>
      </c>
      <c r="F67" s="56"/>
      <c r="G67" s="56"/>
      <c r="H67" s="56">
        <f t="shared" si="21"/>
        <v>3.35825</v>
      </c>
      <c r="I67" s="56">
        <f t="shared" si="22"/>
        <v>43.177499999999995</v>
      </c>
      <c r="J67" s="64"/>
      <c r="K67" s="64">
        <f>(B67*0*3.5)/6</f>
        <v>0</v>
      </c>
      <c r="L67" s="64">
        <f>(B67*8*3.5)/6</f>
        <v>88.666666666666671</v>
      </c>
      <c r="M67" s="126"/>
      <c r="N67" s="56"/>
      <c r="O67" s="56">
        <f>(E67/0.15*3.5*B67)/6</f>
        <v>186.56944444444443</v>
      </c>
      <c r="Q67" s="54">
        <f>0.37+0.37+0.37+0.1</f>
        <v>1.21</v>
      </c>
    </row>
    <row r="68" spans="1:17">
      <c r="B68" s="126"/>
      <c r="C68" s="56"/>
      <c r="D68" s="65"/>
      <c r="E68" s="62"/>
      <c r="F68" s="56"/>
      <c r="G68" s="56"/>
      <c r="H68" s="56">
        <f t="shared" si="21"/>
        <v>0</v>
      </c>
      <c r="I68" s="56">
        <f t="shared" si="22"/>
        <v>0</v>
      </c>
      <c r="J68" s="64"/>
      <c r="K68" s="75">
        <f>K67*0.0148</f>
        <v>0</v>
      </c>
      <c r="L68" s="61">
        <f>L67*0.009468</f>
        <v>0.83949600000000013</v>
      </c>
      <c r="M68" s="126"/>
      <c r="N68" s="56"/>
      <c r="O68" s="62">
        <f>O67*0.001332</f>
        <v>0.2485105</v>
      </c>
      <c r="Q68" s="54">
        <f>0.4+0.35</f>
        <v>0.75</v>
      </c>
    </row>
    <row r="69" spans="1:17">
      <c r="A69" s="56" t="s">
        <v>189</v>
      </c>
      <c r="B69" s="126"/>
      <c r="C69" s="56"/>
      <c r="D69" s="65"/>
      <c r="E69" s="62"/>
      <c r="F69" s="56"/>
      <c r="G69" s="56"/>
      <c r="H69" s="56">
        <f t="shared" si="21"/>
        <v>0</v>
      </c>
      <c r="I69" s="56">
        <f t="shared" si="22"/>
        <v>0</v>
      </c>
      <c r="J69" s="61"/>
      <c r="K69" s="64">
        <f>(B71*10*3.5)/6</f>
        <v>0</v>
      </c>
      <c r="L69" s="64">
        <f>(B69*6*3.5)/6</f>
        <v>0</v>
      </c>
      <c r="M69" s="64">
        <f>(B69*0*4.5)/6</f>
        <v>0</v>
      </c>
      <c r="N69" s="56"/>
      <c r="O69" s="56">
        <f>(E69/0.15*1.8*B69)/6</f>
        <v>0</v>
      </c>
    </row>
    <row r="70" spans="1:17">
      <c r="A70" s="56"/>
      <c r="B70" s="126"/>
      <c r="C70" s="56"/>
      <c r="D70" s="65"/>
      <c r="E70" s="62"/>
      <c r="F70" s="56"/>
      <c r="G70" s="56"/>
      <c r="H70" s="56">
        <f t="shared" si="21"/>
        <v>0</v>
      </c>
      <c r="I70" s="56">
        <f t="shared" si="22"/>
        <v>0</v>
      </c>
      <c r="J70" s="64"/>
      <c r="K70" s="75">
        <f>K69*0.0148</f>
        <v>0</v>
      </c>
      <c r="L70" s="61">
        <f>L69*0.009468</f>
        <v>0</v>
      </c>
      <c r="M70" s="61">
        <f>M69*0.00533</f>
        <v>0</v>
      </c>
      <c r="N70" s="56"/>
      <c r="O70" s="62">
        <f>O69*0.001332</f>
        <v>0</v>
      </c>
      <c r="Q70" s="64"/>
    </row>
    <row r="71" spans="1:17">
      <c r="A71" s="48" t="s">
        <v>284</v>
      </c>
      <c r="B71" s="126"/>
      <c r="C71" s="56"/>
      <c r="D71" s="65"/>
      <c r="E71" s="62"/>
      <c r="F71" s="56"/>
      <c r="G71" s="56"/>
      <c r="H71" s="56">
        <f>E71*D71*C71*B71</f>
        <v>0</v>
      </c>
      <c r="I71" s="56">
        <f>(C71+D71*2)*B71*E71</f>
        <v>0</v>
      </c>
      <c r="J71" s="61"/>
      <c r="K71" s="64">
        <f>(B71*10*3.5)/6</f>
        <v>0</v>
      </c>
      <c r="L71" s="64">
        <f>(B71*10*3.5)/6</f>
        <v>0</v>
      </c>
      <c r="M71" s="126"/>
      <c r="N71" s="56"/>
      <c r="O71" s="56">
        <f>(E71/0.15*1.75*B71)/6</f>
        <v>0</v>
      </c>
      <c r="Q71" s="65"/>
    </row>
    <row r="72" spans="1:17">
      <c r="B72" s="126"/>
      <c r="C72" s="56"/>
      <c r="D72" s="65"/>
      <c r="E72" s="62"/>
      <c r="F72" s="56"/>
      <c r="G72" s="56"/>
      <c r="H72" s="56">
        <f t="shared" ref="H72:H73" si="23">E72*D72*C72*B72</f>
        <v>0</v>
      </c>
      <c r="I72" s="56">
        <f t="shared" ref="I72:I73" si="24">(C72+D72*2)*B72*E72</f>
        <v>0</v>
      </c>
      <c r="J72" s="64"/>
      <c r="K72" s="75">
        <f>K71*0.0148</f>
        <v>0</v>
      </c>
      <c r="L72" s="61">
        <f>L71*0.009468</f>
        <v>0</v>
      </c>
      <c r="M72" s="126"/>
      <c r="N72" s="56"/>
      <c r="O72" s="62">
        <f>O71*0.001332</f>
        <v>0</v>
      </c>
    </row>
    <row r="73" spans="1:17">
      <c r="A73" s="48" t="s">
        <v>304</v>
      </c>
      <c r="B73" s="126"/>
      <c r="C73" s="56"/>
      <c r="D73" s="65"/>
      <c r="E73" s="62">
        <v>0.8</v>
      </c>
      <c r="F73" s="56"/>
      <c r="G73" s="56"/>
      <c r="H73" s="56">
        <f t="shared" si="23"/>
        <v>0</v>
      </c>
      <c r="I73" s="56">
        <f t="shared" si="24"/>
        <v>0</v>
      </c>
      <c r="J73" s="64"/>
      <c r="K73" s="71"/>
      <c r="L73" s="72"/>
      <c r="M73" s="126"/>
      <c r="N73" s="56"/>
      <c r="O73" s="56"/>
    </row>
    <row r="74" spans="1:17">
      <c r="B74" s="126"/>
      <c r="C74" s="56"/>
      <c r="D74" s="65"/>
      <c r="E74" s="62"/>
      <c r="F74" s="56"/>
      <c r="G74" s="56"/>
      <c r="H74" s="56">
        <f t="shared" ref="H74:H75" si="25">E74*D74*C74*B74</f>
        <v>0</v>
      </c>
      <c r="I74" s="56">
        <f t="shared" ref="I74:I75" si="26">(C74+D74*2)*B74*E74</f>
        <v>0</v>
      </c>
      <c r="J74" s="64"/>
      <c r="K74" s="64">
        <f>(B74*12*3.5)/6</f>
        <v>0</v>
      </c>
      <c r="M74" s="126"/>
      <c r="N74" s="56"/>
      <c r="O74" s="56">
        <f>(E74/0.15*2*B74)/6</f>
        <v>0</v>
      </c>
      <c r="Q74" s="65"/>
    </row>
    <row r="75" spans="1:17">
      <c r="A75" s="48" t="s">
        <v>305</v>
      </c>
      <c r="B75" s="126"/>
      <c r="C75" s="56"/>
      <c r="D75" s="65"/>
      <c r="E75" s="62">
        <v>1.1000000000000001</v>
      </c>
      <c r="F75" s="56"/>
      <c r="G75" s="56"/>
      <c r="H75" s="56">
        <f t="shared" si="25"/>
        <v>0</v>
      </c>
      <c r="I75" s="56">
        <f t="shared" si="26"/>
        <v>0</v>
      </c>
      <c r="J75" s="66"/>
      <c r="K75" s="75">
        <f>K74*0.0148</f>
        <v>0</v>
      </c>
      <c r="M75" s="126"/>
      <c r="N75" s="56"/>
      <c r="O75" s="62">
        <f>O74*0.001332</f>
        <v>0</v>
      </c>
    </row>
    <row r="76" spans="1:17">
      <c r="B76" s="126"/>
      <c r="C76" s="56"/>
      <c r="D76" s="65"/>
      <c r="E76" s="62"/>
      <c r="F76" s="56"/>
      <c r="G76" s="56"/>
      <c r="H76" s="185">
        <f>SUM(H65:H75)</f>
        <v>6.2556874999999996</v>
      </c>
      <c r="I76" s="185">
        <f t="shared" ref="I76:J76" si="27">SUM(I65:I75)</f>
        <v>75.75</v>
      </c>
      <c r="J76" s="56">
        <f t="shared" si="27"/>
        <v>0</v>
      </c>
      <c r="K76" s="185">
        <f>K72+K70+K68+K66</f>
        <v>0</v>
      </c>
      <c r="L76" s="185">
        <f>L72+L70+L68+L66</f>
        <v>1.5495960000000002</v>
      </c>
      <c r="M76" s="185">
        <f>M72+M70+M68+M66</f>
        <v>0</v>
      </c>
      <c r="N76" s="185">
        <f t="shared" ref="N76" si="28">N72+N70+N68+N66</f>
        <v>0</v>
      </c>
      <c r="O76" s="185">
        <f>O72+O70+O68+O66</f>
        <v>0.4278865</v>
      </c>
    </row>
    <row r="77" spans="1:17">
      <c r="B77" s="126"/>
      <c r="C77" s="56"/>
      <c r="D77" s="65"/>
      <c r="E77" s="62"/>
      <c r="F77" s="56"/>
      <c r="G77" s="56"/>
      <c r="H77" s="56"/>
      <c r="I77" s="56"/>
      <c r="J77" s="66"/>
      <c r="K77" s="75"/>
      <c r="M77" s="126"/>
      <c r="N77" s="56"/>
      <c r="O77" s="62"/>
    </row>
    <row r="78" spans="1:17">
      <c r="A78" s="78" t="s">
        <v>248</v>
      </c>
      <c r="B78" s="126">
        <v>20</v>
      </c>
      <c r="C78" s="56">
        <v>0.25</v>
      </c>
      <c r="D78" s="65">
        <v>0.17599999999999999</v>
      </c>
      <c r="E78" s="56">
        <v>1</v>
      </c>
      <c r="F78" s="56">
        <v>0.5</v>
      </c>
      <c r="G78" s="56"/>
      <c r="H78" s="56">
        <f>E78*D78*C78*B78*F78</f>
        <v>0.43999999999999995</v>
      </c>
      <c r="I78" s="56">
        <f>E78*D78*B78</f>
        <v>3.5199999999999996</v>
      </c>
      <c r="J78" s="64"/>
      <c r="K78" s="64"/>
      <c r="L78" s="56"/>
      <c r="M78" s="48"/>
      <c r="N78" s="64">
        <f>B80*B79*6</f>
        <v>90</v>
      </c>
      <c r="O78" s="56"/>
    </row>
    <row r="79" spans="1:17">
      <c r="A79" s="56"/>
      <c r="B79" s="48">
        <v>6</v>
      </c>
      <c r="C79" s="56">
        <v>1</v>
      </c>
      <c r="D79" s="56">
        <v>0.15</v>
      </c>
      <c r="E79" s="56">
        <v>1</v>
      </c>
      <c r="F79" s="56">
        <v>1</v>
      </c>
      <c r="G79" s="56"/>
      <c r="H79" s="56">
        <f>E79*D79*C79*B79*F79</f>
        <v>0.89999999999999991</v>
      </c>
      <c r="I79" s="56">
        <f>((B79*C79*E79)+(11.4*0.15))</f>
        <v>7.71</v>
      </c>
      <c r="J79" s="56"/>
      <c r="K79" s="56"/>
      <c r="L79" s="56">
        <f>(6+7)/2</f>
        <v>6.5</v>
      </c>
      <c r="M79" s="126"/>
      <c r="N79" s="64">
        <f>N78*3.778</f>
        <v>340.02</v>
      </c>
      <c r="O79" s="56"/>
    </row>
    <row r="80" spans="1:17">
      <c r="A80" s="56"/>
      <c r="B80" s="48">
        <v>2.5</v>
      </c>
      <c r="C80" s="56">
        <v>0.15</v>
      </c>
      <c r="D80" s="56">
        <v>1.2</v>
      </c>
      <c r="E80" s="56">
        <v>1</v>
      </c>
      <c r="F80" s="56">
        <v>1</v>
      </c>
      <c r="G80" s="56"/>
      <c r="H80" s="56">
        <f>E80*D80*C80*B80*F80</f>
        <v>0.44999999999999996</v>
      </c>
      <c r="I80" s="56">
        <f>D80*B80</f>
        <v>3</v>
      </c>
      <c r="J80" s="56"/>
      <c r="K80" s="56"/>
      <c r="L80" s="56"/>
      <c r="M80" s="124"/>
      <c r="N80" s="66">
        <f>(N79*0.001)*1.25</f>
        <v>0.42502499999999999</v>
      </c>
      <c r="O80" s="56"/>
      <c r="Q80" s="67">
        <f>3.778*0.001</f>
        <v>3.7780000000000001E-3</v>
      </c>
    </row>
    <row r="81" spans="1:17">
      <c r="A81" s="56"/>
      <c r="B81" s="48"/>
      <c r="C81" s="56"/>
      <c r="D81" s="56"/>
      <c r="E81" s="56"/>
      <c r="F81" s="56"/>
      <c r="G81" s="49"/>
      <c r="H81" s="79">
        <f>SUM(H78:H80)</f>
        <v>1.7899999999999998</v>
      </c>
      <c r="I81" s="79">
        <f>SUM(I78:I80)</f>
        <v>14.23</v>
      </c>
      <c r="J81" s="56"/>
      <c r="K81" s="80"/>
      <c r="L81" s="80"/>
      <c r="M81" s="48"/>
      <c r="N81" s="56"/>
      <c r="O81" s="56"/>
      <c r="Q81" s="67">
        <v>3.7780000000000001E-3</v>
      </c>
    </row>
    <row r="82" spans="1:17">
      <c r="A82" s="48" t="s">
        <v>307</v>
      </c>
      <c r="B82" s="126">
        <f>1.5</f>
        <v>1.5</v>
      </c>
      <c r="C82" s="56">
        <v>0.15</v>
      </c>
      <c r="D82" s="65">
        <v>2.5499999999999998</v>
      </c>
      <c r="E82" s="62">
        <v>2</v>
      </c>
      <c r="F82" s="56"/>
      <c r="G82" s="56"/>
      <c r="H82" s="58">
        <f>E82*D82*C82*B82</f>
        <v>1.1475</v>
      </c>
      <c r="I82" s="58">
        <f>B82*D82*2*E82</f>
        <v>15.299999999999999</v>
      </c>
      <c r="J82" s="69"/>
      <c r="K82" s="57"/>
      <c r="L82" s="100"/>
      <c r="M82" s="66">
        <f>(B82*0)*0.00533</f>
        <v>0</v>
      </c>
      <c r="N82" s="66">
        <f>(B82*D82)*3.25*0.0038*E82</f>
        <v>9.4477499999999992E-2</v>
      </c>
      <c r="O82" s="56"/>
    </row>
    <row r="83" spans="1:17">
      <c r="B83" s="126"/>
      <c r="C83" s="56"/>
      <c r="D83" s="65"/>
      <c r="E83" s="62"/>
      <c r="F83" s="56"/>
      <c r="G83" s="56"/>
      <c r="H83" s="48">
        <f>E83*D83*C83*B83</f>
        <v>0</v>
      </c>
      <c r="I83" s="48">
        <f>B83*E83*2</f>
        <v>0</v>
      </c>
      <c r="J83" s="126"/>
      <c r="K83" s="154"/>
      <c r="L83" s="155"/>
      <c r="M83" s="124">
        <f>(B83*E83*3)*0.00533</f>
        <v>0</v>
      </c>
      <c r="N83" s="124">
        <f>(B83*E83)*3.25*0.0038</f>
        <v>0</v>
      </c>
      <c r="O83" s="56"/>
    </row>
    <row r="84" spans="1:17">
      <c r="A84" s="56" t="s">
        <v>285</v>
      </c>
      <c r="B84" s="126">
        <f>4.5+(1.75*2)</f>
        <v>8</v>
      </c>
      <c r="C84" s="56">
        <v>0.15</v>
      </c>
      <c r="D84" s="65">
        <v>1</v>
      </c>
      <c r="E84" s="62">
        <f>3-0.135</f>
        <v>2.8650000000000002</v>
      </c>
      <c r="F84" s="56"/>
      <c r="G84" s="56"/>
      <c r="H84" s="48">
        <f>E84*D84*C84*B84-(1*2.1*0.15)</f>
        <v>3.1230000000000002</v>
      </c>
      <c r="I84" s="48">
        <f>B84*E84*2-(1*2.1*2)</f>
        <v>41.64</v>
      </c>
      <c r="J84" s="126"/>
      <c r="K84" s="154"/>
      <c r="L84" s="155"/>
      <c r="M84" s="124">
        <f>(B84*E84*3)*0.00533</f>
        <v>0.36649080000000001</v>
      </c>
      <c r="N84" s="124">
        <f>(B84*E84)*3.25*0.0038</f>
        <v>0.28306200000000004</v>
      </c>
      <c r="O84" s="56"/>
      <c r="Q84" s="65"/>
    </row>
    <row r="85" spans="1:17">
      <c r="A85" s="56"/>
      <c r="B85" s="126"/>
      <c r="C85" s="56"/>
      <c r="D85" s="65"/>
      <c r="E85" s="56"/>
      <c r="F85" s="56"/>
      <c r="G85" s="56"/>
      <c r="H85" s="166">
        <f>SUM(H84)</f>
        <v>3.1230000000000002</v>
      </c>
      <c r="I85" s="166">
        <f t="shared" ref="I85:N85" si="29">SUM(I84)</f>
        <v>41.64</v>
      </c>
      <c r="J85" s="166">
        <f t="shared" si="29"/>
        <v>0</v>
      </c>
      <c r="K85" s="166">
        <f t="shared" si="29"/>
        <v>0</v>
      </c>
      <c r="L85" s="166">
        <f t="shared" si="29"/>
        <v>0</v>
      </c>
      <c r="M85" s="166">
        <f t="shared" si="29"/>
        <v>0.36649080000000001</v>
      </c>
      <c r="N85" s="166">
        <f t="shared" si="29"/>
        <v>0.28306200000000004</v>
      </c>
      <c r="O85" s="62"/>
    </row>
    <row r="86" spans="1:17">
      <c r="A86" s="49"/>
      <c r="C86" s="50"/>
      <c r="D86" s="50"/>
      <c r="E86" s="50"/>
      <c r="F86" s="56"/>
      <c r="G86" s="49"/>
      <c r="H86" s="51" t="s">
        <v>184</v>
      </c>
      <c r="I86" s="52" t="s">
        <v>185</v>
      </c>
      <c r="J86" s="53">
        <v>25</v>
      </c>
      <c r="K86" s="53">
        <v>20</v>
      </c>
      <c r="L86" s="53">
        <v>16</v>
      </c>
      <c r="M86" s="53">
        <v>12</v>
      </c>
      <c r="N86" s="53">
        <v>10</v>
      </c>
      <c r="O86" s="79">
        <v>6</v>
      </c>
      <c r="P86" s="50"/>
    </row>
    <row r="87" spans="1:17">
      <c r="A87" s="56"/>
      <c r="B87" s="48"/>
      <c r="C87" s="56"/>
      <c r="D87" s="56"/>
      <c r="E87" s="56"/>
      <c r="F87" s="56"/>
      <c r="G87" s="49"/>
      <c r="H87" s="70"/>
      <c r="I87" s="70"/>
      <c r="J87" s="56"/>
      <c r="K87" s="80"/>
      <c r="L87" s="80"/>
      <c r="M87" s="48"/>
      <c r="N87" s="56"/>
      <c r="O87" s="56"/>
    </row>
    <row r="88" spans="1:17">
      <c r="A88" s="56" t="s">
        <v>190</v>
      </c>
      <c r="B88" s="126">
        <f>(6.079*3)+1.851+2.443</f>
        <v>22.530999999999999</v>
      </c>
      <c r="C88" s="56">
        <v>0.2</v>
      </c>
      <c r="D88" s="56">
        <f>0.475-0.135</f>
        <v>0.33999999999999997</v>
      </c>
      <c r="E88" s="56"/>
      <c r="F88" s="56">
        <f>0.4+C88+D88</f>
        <v>0.94000000000000006</v>
      </c>
      <c r="G88" s="56"/>
      <c r="H88" s="56">
        <f>D88*C88*B88</f>
        <v>1.5321079999999998</v>
      </c>
      <c r="I88" s="56">
        <f>B88*F88</f>
        <v>21.17914</v>
      </c>
      <c r="J88" s="63">
        <f>(B88*0/6)*0.0231</f>
        <v>0</v>
      </c>
      <c r="K88" s="63">
        <f>(B88*9/6)*0.0148</f>
        <v>0.50018820000000008</v>
      </c>
      <c r="L88" s="63">
        <f>(B88*9/6)*0.009468</f>
        <v>0.31998526200000005</v>
      </c>
      <c r="M88" s="124">
        <f t="shared" ref="M88:M90" si="30">(B88*0)/6*0.00533</f>
        <v>0</v>
      </c>
      <c r="N88" s="63"/>
      <c r="O88" s="62">
        <f>((B88/0.11*2*3)/6)*0.001332</f>
        <v>0.27282992727272731</v>
      </c>
      <c r="P88" s="54">
        <f>0.35+0.35+0.24+0.1</f>
        <v>1.04</v>
      </c>
    </row>
    <row r="89" spans="1:17">
      <c r="A89" s="48" t="s">
        <v>446</v>
      </c>
      <c r="B89" s="126">
        <f>(6.079*1)+2.65</f>
        <v>8.7289999999999992</v>
      </c>
      <c r="C89" s="56">
        <v>0.2</v>
      </c>
      <c r="D89" s="56">
        <f t="shared" ref="D89" si="31">0.475-0.135</f>
        <v>0.33999999999999997</v>
      </c>
      <c r="E89" s="56"/>
      <c r="F89" s="56">
        <f>0.4+C89+D89</f>
        <v>0.94000000000000006</v>
      </c>
      <c r="G89" s="56"/>
      <c r="H89" s="56">
        <f>D89*C89*B89</f>
        <v>0.59357199999999988</v>
      </c>
      <c r="I89" s="56">
        <f>B89*F89</f>
        <v>8.2052599999999991</v>
      </c>
      <c r="J89" s="63">
        <f>(B89*0/6)*0.0231</f>
        <v>0</v>
      </c>
      <c r="K89" s="63">
        <f>(B89*15/6)*0.0148</f>
        <v>0.32297300000000001</v>
      </c>
      <c r="L89" s="63">
        <f>(B89*12/6)*0.009468</f>
        <v>0.16529234400000001</v>
      </c>
      <c r="M89" s="124">
        <f t="shared" ref="M89" si="32">(B89*0)/6*0.00533</f>
        <v>0</v>
      </c>
      <c r="N89" s="63"/>
      <c r="O89" s="62">
        <f>((B89/0.15*2*2)/6)*0.001332</f>
        <v>5.1675679999999995E-2</v>
      </c>
      <c r="P89" s="54">
        <f>0.35+0.35+0.24+0.1</f>
        <v>1.04</v>
      </c>
    </row>
    <row r="90" spans="1:17">
      <c r="A90" s="56" t="s">
        <v>191</v>
      </c>
      <c r="B90" s="125">
        <f>(4.88*8)+3.15+2.443+2.5</f>
        <v>47.132999999999996</v>
      </c>
      <c r="C90" s="56">
        <v>0.2</v>
      </c>
      <c r="D90" s="56">
        <f>0.4-0.135</f>
        <v>0.26500000000000001</v>
      </c>
      <c r="E90" s="56"/>
      <c r="F90" s="56">
        <f t="shared" ref="F90:F98" si="33">0.4+C90+D90</f>
        <v>0.8650000000000001</v>
      </c>
      <c r="G90" s="56"/>
      <c r="H90" s="56">
        <f t="shared" ref="H90" si="34">D90*C90*B90</f>
        <v>2.498049</v>
      </c>
      <c r="I90" s="56">
        <f t="shared" ref="I90" si="35">B90*F90</f>
        <v>40.770045000000003</v>
      </c>
      <c r="J90" s="63">
        <f t="shared" ref="J90:J92" si="36">(B90*0/6)*0.0231</f>
        <v>0</v>
      </c>
      <c r="K90" s="63">
        <f t="shared" ref="K90:K92" si="37">(B90*0/6)*0.0148</f>
        <v>0</v>
      </c>
      <c r="L90" s="63">
        <f>(B90*15/6)*0.009468</f>
        <v>1.1156381099999999</v>
      </c>
      <c r="M90" s="124">
        <f t="shared" si="30"/>
        <v>0</v>
      </c>
      <c r="N90" s="63"/>
      <c r="O90" s="62">
        <f>((B90/0.11*2*2.5)/6)*0.001332</f>
        <v>0.47561481818181811</v>
      </c>
    </row>
    <row r="91" spans="1:17">
      <c r="A91" s="56" t="s">
        <v>306</v>
      </c>
      <c r="B91" s="48">
        <f>(3.15*6)+(1.676*6)</f>
        <v>28.955999999999996</v>
      </c>
      <c r="C91" s="56">
        <v>0.2</v>
      </c>
      <c r="D91" s="56">
        <f t="shared" ref="D91:D92" si="38">0.4-0.135</f>
        <v>0.26500000000000001</v>
      </c>
      <c r="E91" s="56"/>
      <c r="F91" s="56">
        <f t="shared" ref="F91:F92" si="39">0.4+C91+D91</f>
        <v>0.8650000000000001</v>
      </c>
      <c r="G91" s="56"/>
      <c r="H91" s="56">
        <f t="shared" ref="H91:H95" si="40">D91*C91*B91</f>
        <v>1.5346679999999999</v>
      </c>
      <c r="I91" s="56">
        <f t="shared" ref="I91:I95" si="41">B91*F91</f>
        <v>25.046939999999999</v>
      </c>
      <c r="J91" s="63">
        <f t="shared" si="36"/>
        <v>0</v>
      </c>
      <c r="K91" s="63">
        <f t="shared" si="37"/>
        <v>0</v>
      </c>
      <c r="L91" s="63">
        <f>(B91*6/6)*0.009468</f>
        <v>0.27415540799999999</v>
      </c>
      <c r="M91" s="124">
        <f>(B91*0)/6*0.00533</f>
        <v>0</v>
      </c>
      <c r="N91" s="63"/>
      <c r="O91" s="62">
        <f>((B91/0.15*2*2.5)/6)*0.001332</f>
        <v>0.21427439999999998</v>
      </c>
    </row>
    <row r="92" spans="1:17">
      <c r="A92" s="56" t="s">
        <v>192</v>
      </c>
      <c r="B92" s="48">
        <f>3.15+6.944+6+(25.7*3)+3.5+6.55</f>
        <v>103.24399999999999</v>
      </c>
      <c r="C92" s="56">
        <v>0.2</v>
      </c>
      <c r="D92" s="56">
        <f t="shared" si="38"/>
        <v>0.26500000000000001</v>
      </c>
      <c r="E92" s="56"/>
      <c r="F92" s="56">
        <f t="shared" si="39"/>
        <v>0.8650000000000001</v>
      </c>
      <c r="G92" s="56"/>
      <c r="H92" s="56">
        <f t="shared" si="40"/>
        <v>5.4719319999999998</v>
      </c>
      <c r="I92" s="56">
        <f t="shared" si="41"/>
        <v>89.306060000000002</v>
      </c>
      <c r="J92" s="63">
        <f t="shared" si="36"/>
        <v>0</v>
      </c>
      <c r="K92" s="63">
        <f t="shared" si="37"/>
        <v>0</v>
      </c>
      <c r="L92" s="63">
        <f>(B92*9/6)*0.009468</f>
        <v>1.466271288</v>
      </c>
      <c r="M92" s="124">
        <f t="shared" ref="M92:M96" si="42">(B92*0)/6*0.00533</f>
        <v>0</v>
      </c>
      <c r="N92" s="63"/>
      <c r="O92" s="62">
        <f>((B92/0.15*1*2.5)/6)*0.001332</f>
        <v>0.38200279999999992</v>
      </c>
    </row>
    <row r="93" spans="1:17">
      <c r="A93" s="56"/>
      <c r="B93" s="48"/>
      <c r="C93" s="56"/>
      <c r="D93" s="56"/>
      <c r="E93" s="56"/>
      <c r="F93" s="56"/>
      <c r="G93" s="56"/>
      <c r="H93" s="56">
        <f t="shared" si="40"/>
        <v>0</v>
      </c>
      <c r="I93" s="56">
        <f t="shared" si="41"/>
        <v>0</v>
      </c>
      <c r="J93" s="63">
        <f t="shared" ref="J93" si="43">(B93*0/6)*0.0231</f>
        <v>0</v>
      </c>
      <c r="K93" s="63">
        <f t="shared" ref="K93" si="44">(B93*0/6)*0.0148</f>
        <v>0</v>
      </c>
      <c r="L93" s="63">
        <f>(B93*12/6)*0.009468</f>
        <v>0</v>
      </c>
      <c r="M93" s="124">
        <f t="shared" si="42"/>
        <v>0</v>
      </c>
      <c r="N93" s="63"/>
      <c r="O93" s="62">
        <f>((B93/0.15*2*1.5)/6)*0.001332</f>
        <v>0</v>
      </c>
    </row>
    <row r="94" spans="1:17">
      <c r="A94" s="56"/>
      <c r="B94" s="48"/>
      <c r="C94" s="56"/>
      <c r="D94" s="56"/>
      <c r="E94" s="56"/>
      <c r="F94" s="56"/>
      <c r="G94" s="56"/>
      <c r="H94" s="56">
        <f t="shared" si="40"/>
        <v>0</v>
      </c>
      <c r="I94" s="56">
        <f t="shared" si="41"/>
        <v>0</v>
      </c>
      <c r="J94" s="63"/>
      <c r="K94" s="63"/>
      <c r="L94" s="63">
        <f>(B94*0/6)*0.009468</f>
        <v>0</v>
      </c>
      <c r="M94" s="124">
        <f t="shared" si="42"/>
        <v>0</v>
      </c>
      <c r="N94" s="63"/>
      <c r="O94" s="62">
        <f t="shared" ref="O94:O96" si="45">((B94/0.15*1*1.5)/6)*0.001332</f>
        <v>0</v>
      </c>
    </row>
    <row r="95" spans="1:17">
      <c r="A95" s="56"/>
      <c r="B95" s="48"/>
      <c r="C95" s="56"/>
      <c r="D95" s="56"/>
      <c r="E95" s="56"/>
      <c r="F95" s="56"/>
      <c r="G95" s="56"/>
      <c r="H95" s="56">
        <f t="shared" si="40"/>
        <v>0</v>
      </c>
      <c r="I95" s="56">
        <f t="shared" si="41"/>
        <v>0</v>
      </c>
      <c r="J95" s="63"/>
      <c r="K95" s="63"/>
      <c r="L95" s="63"/>
      <c r="M95" s="124">
        <f t="shared" si="42"/>
        <v>0</v>
      </c>
      <c r="N95" s="63"/>
      <c r="O95" s="62">
        <f t="shared" si="45"/>
        <v>0</v>
      </c>
    </row>
    <row r="96" spans="1:17">
      <c r="A96" s="56"/>
      <c r="B96" s="48"/>
      <c r="C96" s="56"/>
      <c r="D96" s="56"/>
      <c r="E96" s="56"/>
      <c r="F96" s="56"/>
      <c r="G96" s="56"/>
      <c r="H96" s="56"/>
      <c r="I96" s="56"/>
      <c r="J96" s="63"/>
      <c r="K96" s="63"/>
      <c r="L96" s="63"/>
      <c r="M96" s="124">
        <f t="shared" si="42"/>
        <v>0</v>
      </c>
      <c r="N96" s="63"/>
      <c r="O96" s="62">
        <f t="shared" si="45"/>
        <v>0</v>
      </c>
    </row>
    <row r="97" spans="1:19">
      <c r="A97" s="56"/>
      <c r="B97" s="48"/>
      <c r="C97" s="56"/>
      <c r="D97" s="56"/>
      <c r="E97" s="56"/>
      <c r="F97" s="56"/>
      <c r="G97" s="56"/>
      <c r="H97" s="56"/>
      <c r="I97" s="56"/>
      <c r="J97" s="63"/>
      <c r="K97" s="63"/>
      <c r="L97" s="63"/>
      <c r="M97" s="124"/>
      <c r="N97" s="63"/>
      <c r="O97" s="62"/>
    </row>
    <row r="98" spans="1:19">
      <c r="B98" s="48">
        <v>0</v>
      </c>
      <c r="C98" s="56">
        <v>0.2</v>
      </c>
      <c r="D98" s="56">
        <f t="shared" ref="D98" si="46">0.4-0.13</f>
        <v>0.27</v>
      </c>
      <c r="E98" s="56"/>
      <c r="F98" s="56">
        <f t="shared" si="33"/>
        <v>0.87000000000000011</v>
      </c>
      <c r="G98" s="56"/>
      <c r="H98" s="56">
        <f t="shared" ref="H98" si="47">D98*C98*B98</f>
        <v>0</v>
      </c>
      <c r="I98" s="56">
        <f t="shared" ref="I98:I104" si="48">B98*F98</f>
        <v>0</v>
      </c>
      <c r="J98" s="63">
        <f t="shared" ref="J98" si="49">(B98*0/6)*0.0231</f>
        <v>0</v>
      </c>
      <c r="K98" s="63">
        <f>(B98*7.5/6)*0.0148</f>
        <v>0</v>
      </c>
      <c r="L98" s="63">
        <f>(B98*0/6)*0.009468</f>
        <v>0</v>
      </c>
      <c r="M98" s="124">
        <f t="shared" ref="M98" si="50">(B98*0)/6*0.00533</f>
        <v>0</v>
      </c>
      <c r="N98" s="63">
        <f>(0*2.5/6)*0.003778</f>
        <v>0</v>
      </c>
      <c r="O98" s="62">
        <f>((B98/0.075*2*1.5)/6)*0.001332</f>
        <v>0</v>
      </c>
    </row>
    <row r="99" spans="1:19">
      <c r="A99" s="68"/>
      <c r="B99" s="48"/>
      <c r="C99" s="56"/>
      <c r="D99" s="56"/>
      <c r="E99" s="56"/>
      <c r="F99" s="56"/>
      <c r="G99" s="56"/>
      <c r="H99" s="56"/>
      <c r="I99" s="56"/>
      <c r="J99" s="56"/>
      <c r="K99" s="63"/>
      <c r="L99" s="63"/>
      <c r="M99" s="124"/>
      <c r="N99" s="63"/>
      <c r="O99" s="62"/>
    </row>
    <row r="100" spans="1:19">
      <c r="A100" s="68"/>
      <c r="B100" s="48"/>
      <c r="C100" s="56"/>
      <c r="D100" s="56"/>
      <c r="E100" s="56"/>
      <c r="F100" s="56"/>
      <c r="G100" s="49"/>
      <c r="H100" s="276">
        <f>SUM(H88:H99)</f>
        <v>11.630329</v>
      </c>
      <c r="I100" s="276">
        <f t="shared" ref="I100:O100" si="51">SUM(I88:I99)</f>
        <v>184.50744500000002</v>
      </c>
      <c r="J100" s="276">
        <f t="shared" si="51"/>
        <v>0</v>
      </c>
      <c r="K100" s="276">
        <f t="shared" si="51"/>
        <v>0.82316120000000015</v>
      </c>
      <c r="L100" s="276">
        <f t="shared" si="51"/>
        <v>3.3413424119999995</v>
      </c>
      <c r="M100" s="276">
        <f t="shared" si="51"/>
        <v>0</v>
      </c>
      <c r="N100" s="276">
        <f t="shared" si="51"/>
        <v>0</v>
      </c>
      <c r="O100" s="276">
        <f t="shared" si="51"/>
        <v>1.3963976254545454</v>
      </c>
    </row>
    <row r="101" spans="1:19">
      <c r="A101" s="68"/>
      <c r="B101" s="48"/>
      <c r="C101" s="56"/>
      <c r="D101" s="56"/>
      <c r="E101" s="56"/>
      <c r="F101" s="56"/>
      <c r="G101" s="56"/>
      <c r="H101" s="56"/>
      <c r="I101" s="56"/>
      <c r="J101" s="56"/>
      <c r="K101" s="63"/>
      <c r="L101" s="63"/>
      <c r="M101" s="124"/>
      <c r="N101" s="63"/>
      <c r="O101" s="62"/>
    </row>
    <row r="102" spans="1:19">
      <c r="A102" s="68"/>
      <c r="B102" s="48"/>
      <c r="C102" s="56"/>
      <c r="D102" s="56"/>
      <c r="E102" s="56"/>
      <c r="F102" s="56"/>
      <c r="G102" s="56"/>
      <c r="H102" s="56"/>
      <c r="I102" s="56"/>
      <c r="J102" s="56"/>
      <c r="K102" s="63"/>
      <c r="L102" s="63"/>
      <c r="M102" s="124"/>
      <c r="N102" s="63"/>
      <c r="O102" s="62"/>
    </row>
    <row r="103" spans="1:19">
      <c r="A103" s="56"/>
      <c r="B103" s="48">
        <f>SUM(B88:B99)</f>
        <v>210.59299999999996</v>
      </c>
      <c r="C103" s="56"/>
      <c r="D103" s="56"/>
      <c r="E103" s="62">
        <f>B103*C98</f>
        <v>42.118599999999994</v>
      </c>
      <c r="F103" s="56"/>
      <c r="G103" s="56"/>
      <c r="H103" s="56"/>
      <c r="I103" s="56">
        <f t="shared" si="48"/>
        <v>0</v>
      </c>
      <c r="J103" s="56"/>
      <c r="K103" s="56"/>
      <c r="L103" s="64"/>
      <c r="M103" s="126"/>
      <c r="N103" s="64"/>
      <c r="O103" s="56"/>
    </row>
    <row r="104" spans="1:19">
      <c r="A104" s="56"/>
      <c r="B104" s="48"/>
      <c r="C104" s="56"/>
      <c r="D104" s="56"/>
      <c r="E104" s="62"/>
      <c r="F104" s="56"/>
      <c r="G104" s="56"/>
      <c r="H104" s="56"/>
      <c r="I104" s="56">
        <f t="shared" si="48"/>
        <v>0</v>
      </c>
      <c r="J104" s="56"/>
      <c r="K104" s="56"/>
      <c r="L104" s="64"/>
      <c r="M104" s="126"/>
      <c r="N104" s="64"/>
      <c r="O104" s="56"/>
    </row>
    <row r="105" spans="1:19">
      <c r="A105" s="49" t="s">
        <v>193</v>
      </c>
      <c r="C105" s="80"/>
      <c r="D105" s="56"/>
      <c r="E105" s="56"/>
      <c r="F105" s="56"/>
      <c r="G105" s="56"/>
      <c r="H105" s="68"/>
      <c r="I105" s="68"/>
      <c r="J105" s="68"/>
      <c r="K105" s="81"/>
      <c r="L105" s="74">
        <f>(C106+C107)*0.009468</f>
        <v>3.079698966</v>
      </c>
      <c r="M105" s="48"/>
      <c r="N105" s="82"/>
      <c r="O105" s="56"/>
    </row>
    <row r="106" spans="1:19">
      <c r="A106" s="49"/>
      <c r="B106" s="127"/>
      <c r="C106" s="80">
        <f>336.5-C107-B112</f>
        <v>249.9255</v>
      </c>
      <c r="D106" s="56">
        <v>0.13500000000000001</v>
      </c>
      <c r="E106" s="56">
        <f>D106*C106</f>
        <v>33.739942500000005</v>
      </c>
      <c r="F106" s="56"/>
      <c r="G106" s="56"/>
      <c r="H106" s="68">
        <f>E106</f>
        <v>33.739942500000005</v>
      </c>
      <c r="I106" s="68">
        <f>C106</f>
        <v>249.9255</v>
      </c>
      <c r="J106" s="68" t="s">
        <v>226</v>
      </c>
      <c r="K106" s="68"/>
      <c r="L106" s="68"/>
      <c r="M106" s="48"/>
      <c r="N106" s="83">
        <f>(J107*5)*0.003778</f>
        <v>6.144435305</v>
      </c>
      <c r="O106" s="56"/>
    </row>
    <row r="107" spans="1:19">
      <c r="B107" s="128"/>
      <c r="C107" s="49">
        <f>75.349</f>
        <v>75.349000000000004</v>
      </c>
      <c r="D107" s="54">
        <v>0.15</v>
      </c>
      <c r="E107" s="56">
        <f>D107*C107</f>
        <v>11.302350000000001</v>
      </c>
      <c r="F107" s="99"/>
      <c r="G107" s="56"/>
      <c r="H107" s="68">
        <f>E107</f>
        <v>11.302350000000001</v>
      </c>
      <c r="I107" s="68">
        <f>C107</f>
        <v>75.349000000000004</v>
      </c>
      <c r="J107" s="68">
        <f>C106+C107</f>
        <v>325.27449999999999</v>
      </c>
      <c r="K107" s="81"/>
      <c r="L107" s="81"/>
      <c r="M107" s="83">
        <f>(I107*6)*0.00533</f>
        <v>2.4096610200000002</v>
      </c>
      <c r="N107" s="83">
        <f>(J108*5)*0.003778</f>
        <v>0</v>
      </c>
      <c r="O107" s="56"/>
      <c r="Q107" s="54">
        <f>2.163+1.077+1.584+3.175+1.55+3.15+1.525</f>
        <v>14.224</v>
      </c>
      <c r="R107" s="54">
        <v>4.0350000000000001</v>
      </c>
    </row>
    <row r="108" spans="1:19">
      <c r="A108" s="49"/>
      <c r="B108" s="247"/>
      <c r="C108" s="49"/>
      <c r="E108" s="56"/>
      <c r="F108" s="99"/>
      <c r="G108" s="56"/>
      <c r="H108" s="99"/>
      <c r="I108" s="68"/>
      <c r="J108" s="81"/>
      <c r="K108" s="81"/>
      <c r="L108" s="81"/>
      <c r="M108" s="125"/>
      <c r="N108" s="84"/>
      <c r="O108" s="80"/>
      <c r="Q108" s="54">
        <f>0.1+1.077+1.584+3.175+1.55+3.15+1.525</f>
        <v>12.161</v>
      </c>
      <c r="R108" s="54">
        <v>4.0339999999999998</v>
      </c>
    </row>
    <row r="109" spans="1:19">
      <c r="A109" s="246">
        <f>B106/0.092</f>
        <v>0</v>
      </c>
      <c r="B109" s="128">
        <f>1.85*1.75</f>
        <v>3.2375000000000003</v>
      </c>
      <c r="C109" s="80"/>
      <c r="D109" s="56"/>
      <c r="E109" s="56"/>
      <c r="F109" s="56"/>
      <c r="G109" s="56"/>
      <c r="H109" s="68">
        <f>D109*C109*E109</f>
        <v>0</v>
      </c>
      <c r="I109" s="68">
        <f>C109*D109</f>
        <v>0</v>
      </c>
      <c r="J109" s="81"/>
      <c r="K109" s="81"/>
      <c r="L109" s="81"/>
      <c r="M109" s="125"/>
      <c r="N109" s="84"/>
      <c r="O109" s="80"/>
    </row>
    <row r="110" spans="1:19">
      <c r="A110" s="247"/>
      <c r="B110" s="128">
        <v>7.9880000000000004</v>
      </c>
      <c r="C110" s="80"/>
      <c r="D110" s="56"/>
      <c r="E110" s="56"/>
      <c r="F110" s="56"/>
      <c r="G110" s="56"/>
      <c r="H110" s="68">
        <f>D110*C110*E110</f>
        <v>0</v>
      </c>
      <c r="I110" s="68">
        <f>C110*D110</f>
        <v>0</v>
      </c>
      <c r="J110" s="81"/>
      <c r="K110" s="81"/>
      <c r="L110" s="81"/>
      <c r="M110" s="125"/>
      <c r="N110" s="84"/>
      <c r="O110" s="80"/>
    </row>
    <row r="111" spans="1:19">
      <c r="A111" s="50"/>
      <c r="B111" s="125"/>
      <c r="C111" s="80"/>
      <c r="D111" s="56"/>
      <c r="E111" s="56"/>
      <c r="F111" s="56"/>
      <c r="G111" s="56"/>
      <c r="H111" s="68"/>
      <c r="I111" s="68"/>
      <c r="J111" s="81"/>
      <c r="K111" s="81"/>
      <c r="L111" s="81"/>
      <c r="M111" s="125"/>
      <c r="N111" s="84"/>
      <c r="O111" s="80"/>
    </row>
    <row r="112" spans="1:19" ht="18.75" thickBot="1">
      <c r="A112" s="85" t="s">
        <v>195</v>
      </c>
      <c r="B112" s="129">
        <f>SUM(B107:B111)</f>
        <v>11.2255</v>
      </c>
      <c r="C112" s="80"/>
      <c r="D112" s="56"/>
      <c r="E112" s="56"/>
      <c r="F112" s="56"/>
      <c r="G112" s="56"/>
      <c r="H112" s="68">
        <f>D112*C112*E112</f>
        <v>0</v>
      </c>
      <c r="I112" s="68">
        <f>C112*D112</f>
        <v>0</v>
      </c>
      <c r="J112" s="81"/>
      <c r="K112" s="81"/>
      <c r="L112" s="81"/>
      <c r="M112" s="125"/>
      <c r="N112" s="84"/>
      <c r="O112" s="80"/>
      <c r="S112" s="54">
        <f>C106+C107</f>
        <v>325.27449999999999</v>
      </c>
    </row>
    <row r="113" spans="1:19">
      <c r="A113" s="49"/>
      <c r="C113" s="80"/>
      <c r="D113" s="56"/>
      <c r="E113" s="56"/>
      <c r="F113" s="56"/>
      <c r="G113" s="49"/>
      <c r="H113" s="167">
        <f>SUM(H106:H108)</f>
        <v>45.042292500000002</v>
      </c>
      <c r="I113" s="167">
        <f>SUM(I105:I107)</f>
        <v>325.27449999999999</v>
      </c>
      <c r="J113" s="167"/>
      <c r="K113" s="167"/>
      <c r="L113" s="167"/>
      <c r="M113" s="168">
        <f>SUM(M105:M107)</f>
        <v>2.4096610200000002</v>
      </c>
      <c r="N113" s="168">
        <f>SUM(N105:N107)</f>
        <v>6.144435305</v>
      </c>
      <c r="O113" s="80"/>
      <c r="S113" s="54">
        <f>128.99/0.092</f>
        <v>1402.0652173913045</v>
      </c>
    </row>
    <row r="114" spans="1:19">
      <c r="A114" s="48" t="s">
        <v>307</v>
      </c>
      <c r="B114" s="126">
        <f>1.5</f>
        <v>1.5</v>
      </c>
      <c r="C114" s="56">
        <v>0.15</v>
      </c>
      <c r="D114" s="65">
        <v>2.5499999999999998</v>
      </c>
      <c r="E114" s="62">
        <v>2</v>
      </c>
      <c r="F114" s="56"/>
      <c r="G114" s="56"/>
      <c r="H114" s="58">
        <f t="shared" ref="H114" si="52">E114*D114*C114*B114</f>
        <v>1.1475</v>
      </c>
      <c r="I114" s="58">
        <f>B114*D114*2</f>
        <v>7.6499999999999995</v>
      </c>
      <c r="J114" s="69"/>
      <c r="K114" s="57"/>
      <c r="L114" s="100"/>
      <c r="M114" s="66">
        <f>(B114*0)*0.00533</f>
        <v>0</v>
      </c>
      <c r="N114" s="66">
        <f>(B114*D114)*3.25*0.0038</f>
        <v>4.7238749999999996E-2</v>
      </c>
      <c r="O114" s="56"/>
    </row>
    <row r="115" spans="1:19" ht="18">
      <c r="A115" s="480" t="s">
        <v>196</v>
      </c>
      <c r="B115" s="481"/>
      <c r="C115" s="481"/>
      <c r="D115" s="481"/>
      <c r="E115" s="481"/>
      <c r="F115" s="481"/>
      <c r="G115" s="481"/>
      <c r="H115" s="481"/>
      <c r="I115" s="481"/>
      <c r="J115" s="481"/>
      <c r="K115" s="481"/>
      <c r="L115" s="481"/>
      <c r="M115" s="481"/>
      <c r="N115" s="481"/>
      <c r="O115" s="482"/>
    </row>
    <row r="116" spans="1:19">
      <c r="A116" s="56" t="s">
        <v>187</v>
      </c>
      <c r="B116" s="126">
        <v>12</v>
      </c>
      <c r="C116" s="56">
        <v>0.22500000000000001</v>
      </c>
      <c r="D116" s="56">
        <v>0.42499999999999999</v>
      </c>
      <c r="E116" s="62">
        <f>3-0.475</f>
        <v>2.5249999999999999</v>
      </c>
      <c r="F116" s="56"/>
      <c r="G116" s="56"/>
      <c r="H116" s="56">
        <f>E116*D116*C116*B116</f>
        <v>2.8974374999999997</v>
      </c>
      <c r="I116" s="56">
        <f>(C116+D116*2)*B116*E116</f>
        <v>32.572499999999998</v>
      </c>
      <c r="J116" s="64">
        <f>(B116*0*3.5)/6</f>
        <v>0</v>
      </c>
      <c r="K116" s="64">
        <f>(B116*0*3.5)/6</f>
        <v>0</v>
      </c>
      <c r="L116" s="64">
        <f>(B116*10*3.75)/6</f>
        <v>75</v>
      </c>
      <c r="M116" s="64">
        <f>(B116*0*4.5)/6</f>
        <v>0</v>
      </c>
      <c r="N116" s="73"/>
      <c r="O116" s="56">
        <f>(E116/0.15*4*B116)/6</f>
        <v>134.66666666666666</v>
      </c>
      <c r="P116" s="54">
        <f>(0.3+0.24)*3</f>
        <v>1.62</v>
      </c>
      <c r="Q116" s="54">
        <f>0.22+0.22+0.35+0.2+0.35+0.25</f>
        <v>1.5899999999999999</v>
      </c>
    </row>
    <row r="117" spans="1:19">
      <c r="A117" s="56"/>
      <c r="B117" s="126"/>
      <c r="C117" s="56"/>
      <c r="D117" s="65"/>
      <c r="E117" s="62"/>
      <c r="F117" s="56"/>
      <c r="G117" s="56"/>
      <c r="H117" s="56">
        <f t="shared" ref="H117:H121" si="53">E117*D117*C117*B117</f>
        <v>0</v>
      </c>
      <c r="I117" s="56">
        <f t="shared" ref="I117:I121" si="54">(C117+D117*2)*B117*E117</f>
        <v>0</v>
      </c>
      <c r="J117" s="66">
        <f>J116*0.0231</f>
        <v>0</v>
      </c>
      <c r="K117" s="75">
        <f>K116*0.0148</f>
        <v>0</v>
      </c>
      <c r="L117" s="61">
        <f>L116*0.009468</f>
        <v>0.71010000000000006</v>
      </c>
      <c r="M117" s="61">
        <f>M116*0.00533</f>
        <v>0</v>
      </c>
      <c r="N117" s="56"/>
      <c r="O117" s="62">
        <f>O116*0.001332</f>
        <v>0.17937600000000001</v>
      </c>
    </row>
    <row r="118" spans="1:19">
      <c r="A118" s="56" t="s">
        <v>188</v>
      </c>
      <c r="B118" s="126">
        <v>19</v>
      </c>
      <c r="C118" s="56">
        <v>0.2</v>
      </c>
      <c r="D118" s="65">
        <v>0.35</v>
      </c>
      <c r="E118" s="62">
        <f>3-0.475</f>
        <v>2.5249999999999999</v>
      </c>
      <c r="F118" s="56"/>
      <c r="G118" s="56"/>
      <c r="H118" s="56">
        <f t="shared" si="53"/>
        <v>3.35825</v>
      </c>
      <c r="I118" s="56">
        <f t="shared" si="54"/>
        <v>43.177499999999995</v>
      </c>
      <c r="J118" s="64"/>
      <c r="K118" s="64">
        <f>(B118*0*3.5)/6</f>
        <v>0</v>
      </c>
      <c r="L118" s="64">
        <f>(B118*8*3.5)/6</f>
        <v>88.666666666666671</v>
      </c>
      <c r="M118" s="126"/>
      <c r="N118" s="56"/>
      <c r="O118" s="56">
        <f>(E118/0.15*3.5*B118)/6</f>
        <v>186.56944444444443</v>
      </c>
      <c r="Q118" s="54">
        <f>0.37+0.37+0.37+0.1</f>
        <v>1.21</v>
      </c>
    </row>
    <row r="119" spans="1:19">
      <c r="B119" s="126"/>
      <c r="C119" s="56"/>
      <c r="D119" s="65"/>
      <c r="E119" s="62"/>
      <c r="F119" s="56"/>
      <c r="G119" s="56"/>
      <c r="H119" s="56">
        <f t="shared" si="53"/>
        <v>0</v>
      </c>
      <c r="I119" s="56">
        <f t="shared" si="54"/>
        <v>0</v>
      </c>
      <c r="J119" s="64"/>
      <c r="K119" s="75">
        <f>K118*0.0148</f>
        <v>0</v>
      </c>
      <c r="L119" s="61">
        <f>L118*0.009468</f>
        <v>0.83949600000000013</v>
      </c>
      <c r="M119" s="126"/>
      <c r="N119" s="56"/>
      <c r="O119" s="62">
        <f>O118*0.001332</f>
        <v>0.2485105</v>
      </c>
      <c r="Q119" s="54">
        <f>0.4+0.35</f>
        <v>0.75</v>
      </c>
    </row>
    <row r="120" spans="1:19">
      <c r="A120" s="56" t="s">
        <v>189</v>
      </c>
      <c r="B120" s="126"/>
      <c r="C120" s="56"/>
      <c r="D120" s="65"/>
      <c r="E120" s="62"/>
      <c r="F120" s="56"/>
      <c r="G120" s="56"/>
      <c r="H120" s="56">
        <f t="shared" si="53"/>
        <v>0</v>
      </c>
      <c r="I120" s="56">
        <f t="shared" si="54"/>
        <v>0</v>
      </c>
      <c r="J120" s="61"/>
      <c r="K120" s="64">
        <f>(B122*10*3.5)/6</f>
        <v>0</v>
      </c>
      <c r="L120" s="64">
        <f>(B120*6*3.5)/6</f>
        <v>0</v>
      </c>
      <c r="M120" s="64">
        <f>(B120*0*4.5)/6</f>
        <v>0</v>
      </c>
      <c r="N120" s="56"/>
      <c r="O120" s="56">
        <f>(E120/0.15*1.8*B120)/6</f>
        <v>0</v>
      </c>
    </row>
    <row r="121" spans="1:19">
      <c r="A121" s="56"/>
      <c r="B121" s="126"/>
      <c r="C121" s="56"/>
      <c r="D121" s="65"/>
      <c r="E121" s="62"/>
      <c r="F121" s="56"/>
      <c r="G121" s="56"/>
      <c r="H121" s="56">
        <f t="shared" si="53"/>
        <v>0</v>
      </c>
      <c r="I121" s="56">
        <f t="shared" si="54"/>
        <v>0</v>
      </c>
      <c r="J121" s="64"/>
      <c r="K121" s="75">
        <f>K120*0.0148</f>
        <v>0</v>
      </c>
      <c r="L121" s="61">
        <f>L120*0.009468</f>
        <v>0</v>
      </c>
      <c r="M121" s="61">
        <f>M120*0.00533</f>
        <v>0</v>
      </c>
      <c r="N121" s="56"/>
      <c r="O121" s="62">
        <f>O120*0.001332</f>
        <v>0</v>
      </c>
      <c r="Q121" s="64"/>
    </row>
    <row r="122" spans="1:19">
      <c r="A122" s="48" t="s">
        <v>284</v>
      </c>
      <c r="B122" s="126"/>
      <c r="C122" s="56"/>
      <c r="D122" s="65"/>
      <c r="E122" s="62"/>
      <c r="F122" s="56"/>
      <c r="G122" s="56"/>
      <c r="H122" s="56">
        <f>E122*D122*C122*B122</f>
        <v>0</v>
      </c>
      <c r="I122" s="56">
        <f>(C122+D122*2)*B122*E122</f>
        <v>0</v>
      </c>
      <c r="J122" s="61"/>
      <c r="K122" s="64">
        <f>(B122*10*3.5)/6</f>
        <v>0</v>
      </c>
      <c r="L122" s="64">
        <f>(B122*10*3.5)/6</f>
        <v>0</v>
      </c>
      <c r="M122" s="126"/>
      <c r="N122" s="56"/>
      <c r="O122" s="56">
        <f>(E122/0.15*1.75*B122)/6</f>
        <v>0</v>
      </c>
      <c r="Q122" s="65"/>
    </row>
    <row r="123" spans="1:19">
      <c r="B123" s="126"/>
      <c r="C123" s="56"/>
      <c r="D123" s="65"/>
      <c r="E123" s="62"/>
      <c r="F123" s="56"/>
      <c r="G123" s="56"/>
      <c r="H123" s="56">
        <f t="shared" ref="H123:H126" si="55">E123*D123*C123*B123</f>
        <v>0</v>
      </c>
      <c r="I123" s="56">
        <f t="shared" ref="I123:I126" si="56">(C123+D123*2)*B123*E123</f>
        <v>0</v>
      </c>
      <c r="J123" s="64"/>
      <c r="K123" s="75">
        <f>K122*0.0148</f>
        <v>0</v>
      </c>
      <c r="L123" s="61">
        <f>L122*0.009468</f>
        <v>0</v>
      </c>
      <c r="M123" s="126"/>
      <c r="N123" s="56"/>
      <c r="O123" s="62">
        <f>O122*0.001332</f>
        <v>0</v>
      </c>
    </row>
    <row r="124" spans="1:19">
      <c r="A124" s="48" t="s">
        <v>304</v>
      </c>
      <c r="B124" s="126"/>
      <c r="C124" s="56"/>
      <c r="D124" s="65"/>
      <c r="E124" s="62"/>
      <c r="F124" s="56"/>
      <c r="G124" s="56"/>
      <c r="H124" s="56">
        <f t="shared" si="55"/>
        <v>0</v>
      </c>
      <c r="I124" s="56">
        <f t="shared" si="56"/>
        <v>0</v>
      </c>
      <c r="J124" s="64"/>
      <c r="K124" s="71"/>
      <c r="L124" s="72"/>
      <c r="M124" s="126"/>
      <c r="N124" s="56"/>
      <c r="O124" s="56"/>
    </row>
    <row r="125" spans="1:19">
      <c r="B125" s="126"/>
      <c r="C125" s="56"/>
      <c r="D125" s="65"/>
      <c r="E125" s="62"/>
      <c r="F125" s="56"/>
      <c r="G125" s="56"/>
      <c r="H125" s="56">
        <f t="shared" si="55"/>
        <v>0</v>
      </c>
      <c r="I125" s="56">
        <f t="shared" si="56"/>
        <v>0</v>
      </c>
      <c r="J125" s="64"/>
      <c r="K125" s="64">
        <f>(B125*12*3.5)/6</f>
        <v>0</v>
      </c>
      <c r="M125" s="126"/>
      <c r="N125" s="56"/>
      <c r="O125" s="56">
        <f>(E125/0.15*2*B125)/6</f>
        <v>0</v>
      </c>
      <c r="Q125" s="65"/>
    </row>
    <row r="126" spans="1:19">
      <c r="A126" s="48" t="s">
        <v>305</v>
      </c>
      <c r="B126" s="126"/>
      <c r="C126" s="56"/>
      <c r="D126" s="65"/>
      <c r="E126" s="62"/>
      <c r="F126" s="56"/>
      <c r="G126" s="56"/>
      <c r="H126" s="56">
        <f t="shared" si="55"/>
        <v>0</v>
      </c>
      <c r="I126" s="56">
        <f t="shared" si="56"/>
        <v>0</v>
      </c>
      <c r="J126" s="66"/>
      <c r="K126" s="75">
        <f>K125*0.0148</f>
        <v>0</v>
      </c>
      <c r="M126" s="126"/>
      <c r="N126" s="56"/>
      <c r="O126" s="62">
        <f>O125*0.001332</f>
        <v>0</v>
      </c>
    </row>
    <row r="127" spans="1:19">
      <c r="B127" s="126"/>
      <c r="C127" s="56"/>
      <c r="D127" s="65"/>
      <c r="E127" s="62"/>
      <c r="F127" s="56"/>
      <c r="G127" s="56"/>
      <c r="H127" s="185">
        <f>SUM(H116:H126)</f>
        <v>6.2556874999999996</v>
      </c>
      <c r="I127" s="185">
        <f t="shared" ref="I127:J127" si="57">SUM(I116:I126)</f>
        <v>75.75</v>
      </c>
      <c r="J127" s="56">
        <f t="shared" si="57"/>
        <v>0</v>
      </c>
      <c r="K127" s="185">
        <f>K123+K121+K119+K117</f>
        <v>0</v>
      </c>
      <c r="L127" s="185">
        <f>L123+L121+L119+L117</f>
        <v>1.5495960000000002</v>
      </c>
      <c r="M127" s="185">
        <f>M123+M121+M119+M117</f>
        <v>0</v>
      </c>
      <c r="N127" s="185">
        <f t="shared" ref="N127" si="58">N123+N121+N119+N117</f>
        <v>0</v>
      </c>
      <c r="O127" s="185">
        <f>O123+O121+O119+O117</f>
        <v>0.4278865</v>
      </c>
    </row>
    <row r="128" spans="1:19">
      <c r="B128" s="126"/>
      <c r="C128" s="56"/>
      <c r="D128" s="65"/>
      <c r="E128" s="62"/>
      <c r="F128" s="56"/>
      <c r="G128" s="56"/>
      <c r="H128" s="56"/>
      <c r="I128" s="56"/>
      <c r="J128" s="158"/>
      <c r="K128" s="161"/>
      <c r="L128" s="165"/>
      <c r="M128" s="162"/>
      <c r="N128" s="163"/>
      <c r="O128" s="164"/>
    </row>
    <row r="129" spans="1:17">
      <c r="A129" s="78" t="s">
        <v>248</v>
      </c>
      <c r="B129" s="126">
        <v>17</v>
      </c>
      <c r="C129" s="56">
        <v>0.25</v>
      </c>
      <c r="D129" s="65">
        <v>0.17599999999999999</v>
      </c>
      <c r="E129" s="56">
        <v>0.85</v>
      </c>
      <c r="F129" s="56">
        <v>0.5</v>
      </c>
      <c r="G129" s="56"/>
      <c r="H129" s="56">
        <f>E129*D129*C129*B129*F129</f>
        <v>0.31789999999999996</v>
      </c>
      <c r="I129" s="56">
        <f>E129*D129*B129</f>
        <v>2.5431999999999997</v>
      </c>
      <c r="J129" s="64"/>
      <c r="K129" s="64"/>
      <c r="L129" s="56"/>
      <c r="M129" s="48"/>
      <c r="N129" s="64">
        <f>B131*B130*6</f>
        <v>47.25</v>
      </c>
      <c r="O129" s="56"/>
    </row>
    <row r="130" spans="1:17">
      <c r="A130" s="56"/>
      <c r="B130" s="48">
        <v>5.25</v>
      </c>
      <c r="C130" s="56">
        <v>0.85</v>
      </c>
      <c r="D130" s="56">
        <v>0.15</v>
      </c>
      <c r="E130" s="56">
        <v>1</v>
      </c>
      <c r="F130" s="56">
        <v>1</v>
      </c>
      <c r="G130" s="56"/>
      <c r="H130" s="56">
        <f>E130*D130*C130*B130*F130</f>
        <v>0.66937500000000005</v>
      </c>
      <c r="I130" s="56">
        <f>((B130*C130*E130)+(11.4*0.15))</f>
        <v>6.1724999999999994</v>
      </c>
      <c r="J130" s="56"/>
      <c r="K130" s="56"/>
      <c r="L130" s="56">
        <f>(6+7)/2</f>
        <v>6.5</v>
      </c>
      <c r="M130" s="126"/>
      <c r="N130" s="64">
        <f>N129*3.778</f>
        <v>178.51050000000001</v>
      </c>
      <c r="O130" s="56"/>
    </row>
    <row r="131" spans="1:17">
      <c r="A131" s="56"/>
      <c r="B131" s="48">
        <v>1.5</v>
      </c>
      <c r="C131" s="56">
        <v>0.15</v>
      </c>
      <c r="D131" s="56">
        <v>0.9</v>
      </c>
      <c r="E131" s="56">
        <v>1</v>
      </c>
      <c r="F131" s="56">
        <v>1</v>
      </c>
      <c r="G131" s="56"/>
      <c r="H131" s="56">
        <f>E131*D131*C131*B131*F131</f>
        <v>0.20250000000000001</v>
      </c>
      <c r="I131" s="56">
        <f>D131*B131</f>
        <v>1.35</v>
      </c>
      <c r="J131" s="56"/>
      <c r="K131" s="56"/>
      <c r="L131" s="56"/>
      <c r="M131" s="124"/>
      <c r="N131" s="66">
        <f>(N130*0.001)</f>
        <v>0.17851050000000002</v>
      </c>
      <c r="O131" s="56"/>
      <c r="Q131" s="67">
        <f>3.778*0.001</f>
        <v>3.7780000000000001E-3</v>
      </c>
    </row>
    <row r="132" spans="1:17">
      <c r="A132" s="56"/>
      <c r="B132" s="48"/>
      <c r="C132" s="56"/>
      <c r="D132" s="56"/>
      <c r="E132" s="56"/>
      <c r="F132" s="56"/>
      <c r="G132" s="49"/>
      <c r="H132" s="79">
        <f>SUM(H129:H131)</f>
        <v>1.189775</v>
      </c>
      <c r="I132" s="79">
        <f>SUM(I129:I131)</f>
        <v>10.065699999999998</v>
      </c>
      <c r="J132" s="56"/>
      <c r="K132" s="80"/>
      <c r="L132" s="80"/>
      <c r="M132" s="48"/>
      <c r="N132" s="56"/>
      <c r="O132" s="56"/>
      <c r="Q132" s="67">
        <v>3.7780000000000001E-3</v>
      </c>
    </row>
    <row r="133" spans="1:17">
      <c r="A133" s="56" t="s">
        <v>285</v>
      </c>
      <c r="B133" s="126">
        <f>2.35+2.35+0.15+0.15+3.15+3.15+3.15+4.85</f>
        <v>19.3</v>
      </c>
      <c r="C133" s="56">
        <v>0.15</v>
      </c>
      <c r="D133" s="65">
        <v>1</v>
      </c>
      <c r="E133" s="62">
        <f>3.4-0.15</f>
        <v>3.25</v>
      </c>
      <c r="F133" s="56"/>
      <c r="G133" s="56"/>
      <c r="H133" s="48">
        <f>E133*D133*C133*B133</f>
        <v>9.4087499999999995</v>
      </c>
      <c r="I133" s="48">
        <f>B133*E133*2</f>
        <v>125.45</v>
      </c>
      <c r="J133" s="126"/>
      <c r="K133" s="154"/>
      <c r="L133" s="155"/>
      <c r="M133" s="124">
        <f>(B133*E133*3)*0.00533</f>
        <v>1.0029727500000001</v>
      </c>
      <c r="N133" s="124">
        <f>(B133*E133)*3.25*0.0038</f>
        <v>0.77465375000000003</v>
      </c>
      <c r="O133" s="56"/>
      <c r="Q133" s="65"/>
    </row>
    <row r="134" spans="1:17">
      <c r="A134" s="56"/>
      <c r="B134" s="126"/>
      <c r="C134" s="56"/>
      <c r="D134" s="65"/>
      <c r="E134" s="56"/>
      <c r="F134" s="56"/>
      <c r="G134" s="56"/>
      <c r="H134" s="166">
        <f>SUM(H133)</f>
        <v>9.4087499999999995</v>
      </c>
      <c r="I134" s="166">
        <f t="shared" ref="I134" si="59">SUM(I133)</f>
        <v>125.45</v>
      </c>
      <c r="J134" s="166">
        <f t="shared" ref="J134" si="60">SUM(J133)</f>
        <v>0</v>
      </c>
      <c r="K134" s="166">
        <f t="shared" ref="K134" si="61">SUM(K133)</f>
        <v>0</v>
      </c>
      <c r="L134" s="166">
        <f t="shared" ref="L134" si="62">SUM(L133)</f>
        <v>0</v>
      </c>
      <c r="M134" s="166">
        <f t="shared" ref="M134" si="63">SUM(M133)</f>
        <v>1.0029727500000001</v>
      </c>
      <c r="N134" s="166">
        <f t="shared" ref="N134" si="64">SUM(N133)</f>
        <v>0.77465375000000003</v>
      </c>
      <c r="O134" s="62"/>
    </row>
    <row r="135" spans="1:17">
      <c r="A135" s="49"/>
      <c r="B135" s="125">
        <f>(1.025+3.235+0.36)</f>
        <v>4.62</v>
      </c>
      <c r="C135" s="50"/>
      <c r="D135" s="50"/>
      <c r="E135" s="50"/>
      <c r="F135" s="56"/>
      <c r="G135" s="49"/>
      <c r="H135" s="51" t="s">
        <v>184</v>
      </c>
      <c r="I135" s="52" t="s">
        <v>185</v>
      </c>
      <c r="J135" s="53">
        <v>25</v>
      </c>
      <c r="K135" s="53">
        <v>20</v>
      </c>
      <c r="L135" s="53">
        <v>16</v>
      </c>
      <c r="M135" s="53">
        <v>12</v>
      </c>
      <c r="N135" s="53">
        <v>10</v>
      </c>
      <c r="O135" s="79">
        <v>6</v>
      </c>
      <c r="P135" s="50"/>
    </row>
    <row r="136" spans="1:17">
      <c r="A136" s="488" t="s">
        <v>249</v>
      </c>
      <c r="B136" s="489"/>
      <c r="C136" s="489"/>
      <c r="D136" s="489"/>
      <c r="E136" s="489"/>
      <c r="F136" s="489"/>
      <c r="G136" s="489"/>
      <c r="H136" s="489"/>
      <c r="I136" s="489"/>
      <c r="J136" s="489"/>
      <c r="K136" s="489"/>
      <c r="L136" s="489"/>
      <c r="M136" s="489"/>
      <c r="N136" s="489"/>
      <c r="O136" s="490"/>
    </row>
    <row r="137" spans="1:17">
      <c r="A137" s="56" t="s">
        <v>190</v>
      </c>
      <c r="B137" s="126">
        <f>(6.079*3)+1.851+2.443</f>
        <v>22.530999999999999</v>
      </c>
      <c r="C137" s="56">
        <v>0.2</v>
      </c>
      <c r="D137" s="56">
        <f>0.475-0.135</f>
        <v>0.33999999999999997</v>
      </c>
      <c r="E137" s="56"/>
      <c r="F137" s="56">
        <f>0.4+C137+D137</f>
        <v>0.94000000000000006</v>
      </c>
      <c r="G137" s="56"/>
      <c r="H137" s="56">
        <f>D137*C137*B137</f>
        <v>1.5321079999999998</v>
      </c>
      <c r="I137" s="56">
        <f>B137*F137</f>
        <v>21.17914</v>
      </c>
      <c r="J137" s="63">
        <f>(B137*0/6)*0.0231</f>
        <v>0</v>
      </c>
      <c r="K137" s="63">
        <f>(B137*9/6)*0.0148</f>
        <v>0.50018820000000008</v>
      </c>
      <c r="L137" s="63">
        <f>(B137*9/6)*0.009468</f>
        <v>0.31998526200000005</v>
      </c>
      <c r="M137" s="124">
        <f t="shared" ref="M137:M139" si="65">(B137*0)/6*0.00533</f>
        <v>0</v>
      </c>
      <c r="N137" s="63"/>
      <c r="O137" s="62">
        <f>((B137/0.11*2*3)/6)*0.001332</f>
        <v>0.27282992727272731</v>
      </c>
      <c r="P137" s="54">
        <f>0.35+0.35+0.24+0.1</f>
        <v>1.04</v>
      </c>
    </row>
    <row r="138" spans="1:17">
      <c r="A138" s="48" t="s">
        <v>446</v>
      </c>
      <c r="B138" s="126">
        <f>(6.079*1)+2.65</f>
        <v>8.7289999999999992</v>
      </c>
      <c r="C138" s="56">
        <v>0.2</v>
      </c>
      <c r="D138" s="56">
        <f t="shared" ref="D138" si="66">0.475-0.135</f>
        <v>0.33999999999999997</v>
      </c>
      <c r="E138" s="56"/>
      <c r="F138" s="56">
        <f>0.4+C138+D138</f>
        <v>0.94000000000000006</v>
      </c>
      <c r="G138" s="56"/>
      <c r="H138" s="56">
        <f>D138*C138*B138</f>
        <v>0.59357199999999988</v>
      </c>
      <c r="I138" s="56">
        <f>B138*F138</f>
        <v>8.2052599999999991</v>
      </c>
      <c r="J138" s="63">
        <f>(B138*0/6)*0.0231</f>
        <v>0</v>
      </c>
      <c r="K138" s="63">
        <f>(B138*15/6)*0.0148</f>
        <v>0.32297300000000001</v>
      </c>
      <c r="L138" s="63">
        <f>(B138*12/6)*0.009468</f>
        <v>0.16529234400000001</v>
      </c>
      <c r="M138" s="124">
        <f t="shared" si="65"/>
        <v>0</v>
      </c>
      <c r="N138" s="63"/>
      <c r="O138" s="62">
        <f>((B138/0.15*2*2)/6)*0.001332</f>
        <v>5.1675679999999995E-2</v>
      </c>
      <c r="P138" s="54">
        <f>0.35+0.35+0.24+0.1</f>
        <v>1.04</v>
      </c>
    </row>
    <row r="139" spans="1:17">
      <c r="A139" s="56" t="s">
        <v>191</v>
      </c>
      <c r="B139" s="125">
        <f>(4.88*8)+3.15+2.443+2.5</f>
        <v>47.132999999999996</v>
      </c>
      <c r="C139" s="56">
        <v>0.2</v>
      </c>
      <c r="D139" s="56">
        <f>0.4-0.135</f>
        <v>0.26500000000000001</v>
      </c>
      <c r="E139" s="56"/>
      <c r="F139" s="56">
        <f t="shared" ref="F139:F141" si="67">0.4+C139+D139</f>
        <v>0.8650000000000001</v>
      </c>
      <c r="G139" s="56"/>
      <c r="H139" s="56">
        <f t="shared" ref="H139:H144" si="68">D139*C139*B139</f>
        <v>2.498049</v>
      </c>
      <c r="I139" s="56">
        <f t="shared" ref="I139:I144" si="69">B139*F139</f>
        <v>40.770045000000003</v>
      </c>
      <c r="J139" s="63">
        <f t="shared" ref="J139:J142" si="70">(B139*0/6)*0.0231</f>
        <v>0</v>
      </c>
      <c r="K139" s="63">
        <f t="shared" ref="K139:K142" si="71">(B139*0/6)*0.0148</f>
        <v>0</v>
      </c>
      <c r="L139" s="63">
        <f>(B139*15/6)*0.009468</f>
        <v>1.1156381099999999</v>
      </c>
      <c r="M139" s="124">
        <f t="shared" si="65"/>
        <v>0</v>
      </c>
      <c r="N139" s="63"/>
      <c r="O139" s="62">
        <f>((B139/0.11*2*2.5)/6)*0.001332</f>
        <v>0.47561481818181811</v>
      </c>
    </row>
    <row r="140" spans="1:17">
      <c r="A140" s="56" t="s">
        <v>306</v>
      </c>
      <c r="B140" s="48">
        <f>(3.15*6)+(1.676*6)</f>
        <v>28.955999999999996</v>
      </c>
      <c r="C140" s="56">
        <v>0.2</v>
      </c>
      <c r="D140" s="56">
        <f t="shared" ref="D140:D141" si="72">0.4-0.135</f>
        <v>0.26500000000000001</v>
      </c>
      <c r="E140" s="56"/>
      <c r="F140" s="56">
        <f t="shared" si="67"/>
        <v>0.8650000000000001</v>
      </c>
      <c r="G140" s="56"/>
      <c r="H140" s="56">
        <f t="shared" si="68"/>
        <v>1.5346679999999999</v>
      </c>
      <c r="I140" s="56">
        <f t="shared" si="69"/>
        <v>25.046939999999999</v>
      </c>
      <c r="J140" s="63">
        <f t="shared" si="70"/>
        <v>0</v>
      </c>
      <c r="K140" s="63">
        <f t="shared" si="71"/>
        <v>0</v>
      </c>
      <c r="L140" s="63">
        <f>(B140*6/6)*0.009468</f>
        <v>0.27415540799999999</v>
      </c>
      <c r="M140" s="124">
        <f>(B140*0)/6*0.00533</f>
        <v>0</v>
      </c>
      <c r="N140" s="63"/>
      <c r="O140" s="62">
        <f>((B140/0.15*2*2.5)/6)*0.001332</f>
        <v>0.21427439999999998</v>
      </c>
    </row>
    <row r="141" spans="1:17">
      <c r="A141" s="56" t="s">
        <v>192</v>
      </c>
      <c r="B141" s="48">
        <f>3.15+6.944+6+(25.7*3)+3.5+6.55</f>
        <v>103.24399999999999</v>
      </c>
      <c r="C141" s="56">
        <v>0.2</v>
      </c>
      <c r="D141" s="56">
        <f t="shared" si="72"/>
        <v>0.26500000000000001</v>
      </c>
      <c r="E141" s="56"/>
      <c r="F141" s="56">
        <f t="shared" si="67"/>
        <v>0.8650000000000001</v>
      </c>
      <c r="G141" s="56"/>
      <c r="H141" s="56">
        <f t="shared" si="68"/>
        <v>5.4719319999999998</v>
      </c>
      <c r="I141" s="56">
        <f t="shared" si="69"/>
        <v>89.306060000000002</v>
      </c>
      <c r="J141" s="63">
        <f t="shared" si="70"/>
        <v>0</v>
      </c>
      <c r="K141" s="63">
        <f t="shared" si="71"/>
        <v>0</v>
      </c>
      <c r="L141" s="63">
        <f>(B141*9/6)*0.009468</f>
        <v>1.466271288</v>
      </c>
      <c r="M141" s="124">
        <f t="shared" ref="M141:M145" si="73">(B141*0)/6*0.00533</f>
        <v>0</v>
      </c>
      <c r="N141" s="63"/>
      <c r="O141" s="62">
        <f>((B141/0.15*1*2.5)/6)*0.001332</f>
        <v>0.38200279999999992</v>
      </c>
    </row>
    <row r="142" spans="1:17">
      <c r="A142" s="56"/>
      <c r="B142" s="48"/>
      <c r="C142" s="56"/>
      <c r="D142" s="56"/>
      <c r="E142" s="56"/>
      <c r="F142" s="56"/>
      <c r="G142" s="56"/>
      <c r="H142" s="56">
        <f t="shared" si="68"/>
        <v>0</v>
      </c>
      <c r="I142" s="56">
        <f t="shared" si="69"/>
        <v>0</v>
      </c>
      <c r="J142" s="63">
        <f t="shared" si="70"/>
        <v>0</v>
      </c>
      <c r="K142" s="63">
        <f t="shared" si="71"/>
        <v>0</v>
      </c>
      <c r="L142" s="63">
        <f>(B142*12/6)*0.009468</f>
        <v>0</v>
      </c>
      <c r="M142" s="124">
        <f t="shared" si="73"/>
        <v>0</v>
      </c>
      <c r="N142" s="63"/>
      <c r="O142" s="62">
        <f>((B142/0.15*2*1.5)/6)*0.001332</f>
        <v>0</v>
      </c>
    </row>
    <row r="143" spans="1:17">
      <c r="A143" s="56"/>
      <c r="B143" s="48"/>
      <c r="C143" s="56"/>
      <c r="D143" s="56"/>
      <c r="E143" s="56"/>
      <c r="F143" s="56"/>
      <c r="G143" s="56"/>
      <c r="H143" s="56">
        <f t="shared" si="68"/>
        <v>0</v>
      </c>
      <c r="I143" s="56">
        <f t="shared" si="69"/>
        <v>0</v>
      </c>
      <c r="J143" s="63"/>
      <c r="K143" s="63"/>
      <c r="L143" s="63">
        <f>(B143*0/6)*0.009468</f>
        <v>0</v>
      </c>
      <c r="M143" s="124">
        <f t="shared" si="73"/>
        <v>0</v>
      </c>
      <c r="N143" s="63"/>
      <c r="O143" s="62">
        <f t="shared" ref="O143:O145" si="74">((B143/0.15*1*1.5)/6)*0.001332</f>
        <v>0</v>
      </c>
    </row>
    <row r="144" spans="1:17">
      <c r="A144" s="56"/>
      <c r="B144" s="48"/>
      <c r="C144" s="56"/>
      <c r="D144" s="56"/>
      <c r="E144" s="56"/>
      <c r="F144" s="56"/>
      <c r="G144" s="56"/>
      <c r="H144" s="56">
        <f t="shared" si="68"/>
        <v>0</v>
      </c>
      <c r="I144" s="56">
        <f t="shared" si="69"/>
        <v>0</v>
      </c>
      <c r="J144" s="63"/>
      <c r="K144" s="63"/>
      <c r="L144" s="63"/>
      <c r="M144" s="124">
        <f t="shared" si="73"/>
        <v>0</v>
      </c>
      <c r="N144" s="63"/>
      <c r="O144" s="62">
        <f t="shared" si="74"/>
        <v>0</v>
      </c>
    </row>
    <row r="145" spans="1:18">
      <c r="A145" s="56"/>
      <c r="B145" s="48"/>
      <c r="C145" s="56"/>
      <c r="D145" s="56"/>
      <c r="E145" s="56"/>
      <c r="F145" s="56"/>
      <c r="G145" s="56"/>
      <c r="H145" s="56"/>
      <c r="I145" s="56"/>
      <c r="J145" s="63"/>
      <c r="K145" s="63"/>
      <c r="L145" s="63"/>
      <c r="M145" s="124">
        <f t="shared" si="73"/>
        <v>0</v>
      </c>
      <c r="N145" s="63"/>
      <c r="O145" s="62">
        <f t="shared" si="74"/>
        <v>0</v>
      </c>
    </row>
    <row r="146" spans="1:18">
      <c r="B146" s="48">
        <v>0</v>
      </c>
      <c r="C146" s="56">
        <v>0.2</v>
      </c>
      <c r="D146" s="56">
        <f t="shared" ref="D146" si="75">0.4-0.13</f>
        <v>0.27</v>
      </c>
      <c r="E146" s="56"/>
      <c r="F146" s="56">
        <f t="shared" ref="F146" si="76">0.4+C146+D146</f>
        <v>0.87000000000000011</v>
      </c>
      <c r="G146" s="56"/>
      <c r="H146" s="56">
        <f t="shared" ref="H146" si="77">D146*C146*B146</f>
        <v>0</v>
      </c>
      <c r="I146" s="56">
        <f t="shared" ref="I146" si="78">B146*F146</f>
        <v>0</v>
      </c>
      <c r="J146" s="63">
        <f t="shared" ref="J146" si="79">(B146*0/6)*0.0231</f>
        <v>0</v>
      </c>
      <c r="K146" s="63">
        <f>(B146*7.5/6)*0.0148</f>
        <v>0</v>
      </c>
      <c r="L146" s="63">
        <f>(B146*0/6)*0.009468</f>
        <v>0</v>
      </c>
      <c r="M146" s="124">
        <f t="shared" ref="M146" si="80">(B146*0)/6*0.00533</f>
        <v>0</v>
      </c>
      <c r="N146" s="63">
        <f>(0*2.5/6)*0.003778</f>
        <v>0</v>
      </c>
      <c r="O146" s="62">
        <f>((B146/0.075*2*1.5)/6)*0.001332</f>
        <v>0</v>
      </c>
    </row>
    <row r="147" spans="1:18">
      <c r="A147" s="68"/>
      <c r="B147" s="48"/>
      <c r="C147" s="56"/>
      <c r="D147" s="56"/>
      <c r="E147" s="56"/>
      <c r="F147" s="56"/>
      <c r="G147" s="56"/>
      <c r="H147" s="56"/>
      <c r="I147" s="56"/>
      <c r="J147" s="56"/>
      <c r="K147" s="63"/>
      <c r="L147" s="63"/>
      <c r="M147" s="124"/>
      <c r="N147" s="63"/>
      <c r="O147" s="62"/>
    </row>
    <row r="148" spans="1:18">
      <c r="A148" s="68"/>
      <c r="B148" s="48"/>
      <c r="C148" s="56"/>
      <c r="D148" s="56"/>
      <c r="E148" s="56"/>
      <c r="F148" s="56"/>
      <c r="G148" s="49"/>
      <c r="H148" s="276">
        <f>SUM(H137:H147)</f>
        <v>11.630329</v>
      </c>
      <c r="I148" s="276">
        <f t="shared" ref="I148" si="81">SUM(I137:I147)</f>
        <v>184.50744500000002</v>
      </c>
      <c r="J148" s="276">
        <f t="shared" ref="J148" si="82">SUM(J137:J147)</f>
        <v>0</v>
      </c>
      <c r="K148" s="276">
        <f t="shared" ref="K148" si="83">SUM(K137:K147)</f>
        <v>0.82316120000000015</v>
      </c>
      <c r="L148" s="276">
        <f t="shared" ref="L148" si="84">SUM(L137:L147)</f>
        <v>3.3413424119999995</v>
      </c>
      <c r="M148" s="276">
        <f t="shared" ref="M148" si="85">SUM(M137:M147)</f>
        <v>0</v>
      </c>
      <c r="N148" s="276">
        <f t="shared" ref="N148" si="86">SUM(N137:N147)</f>
        <v>0</v>
      </c>
      <c r="O148" s="276">
        <f t="shared" ref="O148" si="87">SUM(O137:O147)</f>
        <v>1.3963976254545454</v>
      </c>
    </row>
    <row r="149" spans="1:18" s="165" customFormat="1">
      <c r="A149" s="171"/>
      <c r="B149" s="171"/>
      <c r="C149" s="163"/>
      <c r="D149" s="163"/>
      <c r="E149" s="163"/>
      <c r="F149" s="163"/>
      <c r="G149" s="163"/>
      <c r="H149" s="163"/>
      <c r="I149" s="163"/>
      <c r="J149" s="170"/>
      <c r="K149" s="170"/>
      <c r="L149" s="170"/>
      <c r="M149" s="160"/>
      <c r="N149" s="170"/>
      <c r="O149" s="164"/>
    </row>
    <row r="150" spans="1:18">
      <c r="A150" s="56"/>
      <c r="B150" s="48">
        <f>SUM(B137:B149)</f>
        <v>210.59299999999996</v>
      </c>
      <c r="C150" s="56"/>
      <c r="D150" s="56"/>
      <c r="E150" s="62">
        <f>B150*C142</f>
        <v>0</v>
      </c>
      <c r="F150" s="56"/>
      <c r="G150" s="56"/>
      <c r="H150" s="56"/>
      <c r="I150" s="56">
        <f t="shared" ref="I150" si="88">B150*F150</f>
        <v>0</v>
      </c>
      <c r="J150" s="56"/>
      <c r="K150" s="56"/>
      <c r="L150" s="64"/>
      <c r="M150" s="126"/>
      <c r="N150" s="64"/>
      <c r="O150" s="56"/>
    </row>
    <row r="151" spans="1:18">
      <c r="A151" s="56"/>
      <c r="B151" s="48"/>
      <c r="C151" s="56"/>
      <c r="D151" s="56"/>
      <c r="E151" s="62"/>
      <c r="F151" s="56"/>
      <c r="G151" s="56"/>
      <c r="H151" s="56"/>
      <c r="I151" s="56">
        <f t="shared" ref="I151" si="89">B151*F151</f>
        <v>0</v>
      </c>
      <c r="J151" s="56"/>
      <c r="K151" s="56"/>
      <c r="L151" s="64">
        <f>L141</f>
        <v>1.466271288</v>
      </c>
      <c r="M151" s="126"/>
      <c r="N151" s="64"/>
      <c r="O151" s="56"/>
    </row>
    <row r="152" spans="1:18">
      <c r="A152" s="49" t="s">
        <v>193</v>
      </c>
      <c r="C152" s="80"/>
      <c r="D152" s="56"/>
      <c r="E152" s="56"/>
      <c r="F152" s="56"/>
      <c r="G152" s="56"/>
      <c r="H152" s="68"/>
      <c r="I152" s="68"/>
      <c r="J152" s="68"/>
      <c r="K152" s="81"/>
      <c r="L152" s="74">
        <f>L151*0.009468</f>
        <v>1.3882656554784E-2</v>
      </c>
      <c r="M152" s="48"/>
      <c r="N152" s="82"/>
      <c r="O152" s="56"/>
    </row>
    <row r="153" spans="1:18">
      <c r="A153" s="49"/>
      <c r="B153" s="127"/>
      <c r="C153" s="80">
        <f>336.5-C154-B159</f>
        <v>249.9255</v>
      </c>
      <c r="D153" s="56">
        <v>0.13500000000000001</v>
      </c>
      <c r="E153" s="56">
        <f>D153*C153</f>
        <v>33.739942500000005</v>
      </c>
      <c r="F153" s="56"/>
      <c r="G153" s="56"/>
      <c r="H153" s="68">
        <f>E153</f>
        <v>33.739942500000005</v>
      </c>
      <c r="I153" s="68">
        <f>C153</f>
        <v>249.9255</v>
      </c>
      <c r="J153" s="68" t="s">
        <v>226</v>
      </c>
      <c r="K153" s="68"/>
      <c r="L153" s="68"/>
      <c r="M153" s="48"/>
      <c r="N153" s="83">
        <f>(J154*5)*0.003778</f>
        <v>6.144435305</v>
      </c>
      <c r="O153" s="56"/>
    </row>
    <row r="154" spans="1:18">
      <c r="B154" s="128"/>
      <c r="C154" s="49">
        <f>75.349</f>
        <v>75.349000000000004</v>
      </c>
      <c r="D154" s="54">
        <v>0.15</v>
      </c>
      <c r="E154" s="56">
        <f>D154*C154</f>
        <v>11.302350000000001</v>
      </c>
      <c r="F154" s="99"/>
      <c r="G154" s="56"/>
      <c r="H154" s="68">
        <f>E154</f>
        <v>11.302350000000001</v>
      </c>
      <c r="I154" s="68">
        <f>C154</f>
        <v>75.349000000000004</v>
      </c>
      <c r="J154" s="68">
        <f>C153+C154</f>
        <v>325.27449999999999</v>
      </c>
      <c r="K154" s="81"/>
      <c r="L154" s="81"/>
      <c r="M154" s="48"/>
      <c r="N154" s="83"/>
      <c r="O154" s="56"/>
      <c r="Q154" s="54">
        <f>2.163+1.077+1.584+3.175+1.55+3.15+1.525</f>
        <v>14.224</v>
      </c>
      <c r="R154" s="54">
        <v>4.0350000000000001</v>
      </c>
    </row>
    <row r="155" spans="1:18">
      <c r="A155" s="49"/>
      <c r="B155" s="247"/>
      <c r="C155" s="49"/>
      <c r="E155" s="56"/>
      <c r="F155" s="99"/>
      <c r="G155" s="56"/>
      <c r="H155" s="99"/>
      <c r="I155" s="68"/>
      <c r="J155" s="81"/>
      <c r="K155" s="81"/>
      <c r="L155" s="81"/>
      <c r="M155" s="125"/>
      <c r="N155" s="84"/>
      <c r="O155" s="80"/>
      <c r="Q155" s="54">
        <f>0.1+1.077+1.584+3.175+1.55+3.15+1.525</f>
        <v>12.161</v>
      </c>
      <c r="R155" s="54">
        <v>4.0339999999999998</v>
      </c>
    </row>
    <row r="156" spans="1:18">
      <c r="A156" s="246">
        <f>B153/0.092</f>
        <v>0</v>
      </c>
      <c r="B156" s="128">
        <f>1.85*1.75</f>
        <v>3.2375000000000003</v>
      </c>
      <c r="C156" s="80"/>
      <c r="D156" s="56"/>
      <c r="E156" s="56"/>
      <c r="F156" s="56"/>
      <c r="G156" s="56"/>
      <c r="H156" s="68">
        <f>D156*C156*E156</f>
        <v>0</v>
      </c>
      <c r="I156" s="68">
        <f>C156*D156</f>
        <v>0</v>
      </c>
      <c r="J156" s="81"/>
      <c r="K156" s="81"/>
      <c r="L156" s="81"/>
      <c r="M156" s="125"/>
      <c r="N156" s="84"/>
      <c r="O156" s="80"/>
    </row>
    <row r="157" spans="1:18">
      <c r="A157" s="247"/>
      <c r="B157" s="128">
        <v>7.9880000000000004</v>
      </c>
      <c r="C157" s="80"/>
      <c r="D157" s="56"/>
      <c r="E157" s="56"/>
      <c r="F157" s="56"/>
      <c r="G157" s="56"/>
      <c r="H157" s="68">
        <f>D157*C157*E157</f>
        <v>0</v>
      </c>
      <c r="I157" s="68">
        <f>C157*D157</f>
        <v>0</v>
      </c>
      <c r="J157" s="81"/>
      <c r="K157" s="81"/>
      <c r="L157" s="81"/>
      <c r="M157" s="125"/>
      <c r="N157" s="84"/>
      <c r="O157" s="80"/>
    </row>
    <row r="158" spans="1:18">
      <c r="A158" s="50"/>
      <c r="B158" s="125"/>
      <c r="C158" s="80"/>
      <c r="D158" s="56"/>
      <c r="E158" s="56"/>
      <c r="F158" s="56"/>
      <c r="G158" s="56"/>
      <c r="H158" s="68"/>
      <c r="I158" s="68"/>
      <c r="J158" s="81"/>
      <c r="K158" s="81"/>
      <c r="L158" s="81"/>
      <c r="M158" s="125"/>
      <c r="N158" s="84"/>
      <c r="O158" s="80"/>
    </row>
    <row r="159" spans="1:18" ht="18.75" thickBot="1">
      <c r="A159" s="85" t="s">
        <v>195</v>
      </c>
      <c r="B159" s="129">
        <f>SUM(B155:B158)</f>
        <v>11.2255</v>
      </c>
      <c r="C159" s="80"/>
      <c r="D159" s="56"/>
      <c r="E159" s="56"/>
      <c r="F159" s="56"/>
      <c r="G159" s="56"/>
      <c r="H159" s="68">
        <f>D159*C159*E159</f>
        <v>0</v>
      </c>
      <c r="I159" s="68">
        <f>C159*D159</f>
        <v>0</v>
      </c>
      <c r="J159" s="81"/>
      <c r="K159" s="81"/>
      <c r="L159" s="81"/>
      <c r="M159" s="125"/>
      <c r="N159" s="84"/>
      <c r="O159" s="80"/>
    </row>
    <row r="160" spans="1:18">
      <c r="A160" s="49"/>
      <c r="C160" s="80"/>
      <c r="D160" s="56"/>
      <c r="E160" s="56"/>
      <c r="F160" s="56"/>
      <c r="G160" s="49"/>
      <c r="H160" s="79">
        <f>SUM(H153:H155)</f>
        <v>45.042292500000002</v>
      </c>
      <c r="I160" s="79">
        <f>SUM(I152:I154)</f>
        <v>325.27449999999999</v>
      </c>
      <c r="J160" s="79"/>
      <c r="K160" s="79"/>
      <c r="L160" s="79"/>
      <c r="M160" s="79"/>
      <c r="N160" s="86">
        <f>SUM(N152:N154)</f>
        <v>6.144435305</v>
      </c>
      <c r="O160" s="80"/>
    </row>
    <row r="161" spans="1:17">
      <c r="A161" s="48" t="s">
        <v>307</v>
      </c>
      <c r="B161" s="126">
        <f>1.5</f>
        <v>1.5</v>
      </c>
      <c r="C161" s="56">
        <v>0.15</v>
      </c>
      <c r="D161" s="65">
        <v>2.5499999999999998</v>
      </c>
      <c r="E161" s="62">
        <v>2</v>
      </c>
      <c r="F161" s="56"/>
      <c r="G161" s="56"/>
      <c r="H161" s="58">
        <f t="shared" ref="H161" si="90">E161*D161*C161*B161</f>
        <v>1.1475</v>
      </c>
      <c r="I161" s="58">
        <f>B161*D161*2</f>
        <v>7.6499999999999995</v>
      </c>
      <c r="J161" s="69"/>
      <c r="K161" s="57"/>
      <c r="L161" s="100"/>
      <c r="M161" s="66">
        <f>(B161*0)*0.00533</f>
        <v>0</v>
      </c>
      <c r="N161" s="66">
        <f>(B161*D161)*3.25*0.0038</f>
        <v>4.7238749999999996E-2</v>
      </c>
      <c r="O161" s="56"/>
    </row>
    <row r="162" spans="1:17">
      <c r="A162" s="87" t="s">
        <v>227</v>
      </c>
      <c r="C162" s="89">
        <f>3.25*6</f>
        <v>19.5</v>
      </c>
      <c r="D162" s="89">
        <v>1.2</v>
      </c>
      <c r="E162" s="89">
        <v>0.1</v>
      </c>
      <c r="F162" s="89"/>
      <c r="G162" s="89"/>
      <c r="H162" s="70">
        <f>E162*D162*C162</f>
        <v>2.34</v>
      </c>
      <c r="I162" s="70">
        <f>C162*D162*2</f>
        <v>46.8</v>
      </c>
      <c r="J162" s="70"/>
      <c r="K162" s="70"/>
      <c r="L162" s="70"/>
      <c r="M162" s="70"/>
      <c r="N162" s="90">
        <f>(C162*D162)*5*0.003778</f>
        <v>0.44202600000000003</v>
      </c>
      <c r="O162" s="80"/>
    </row>
    <row r="163" spans="1:17">
      <c r="A163" s="56" t="s">
        <v>285</v>
      </c>
      <c r="B163" s="126">
        <f>2.35+2.35+0.15+0.15+3.15+3.15+3.15+4.85</f>
        <v>19.3</v>
      </c>
      <c r="C163" s="56">
        <v>0.15</v>
      </c>
      <c r="D163" s="65">
        <v>1</v>
      </c>
      <c r="E163" s="62">
        <f>3.4-0.15</f>
        <v>3.25</v>
      </c>
      <c r="F163" s="56"/>
      <c r="G163" s="56"/>
      <c r="H163" s="48">
        <f>E163*D163*C163*B163</f>
        <v>9.4087499999999995</v>
      </c>
      <c r="I163" s="48">
        <f>B163*E163*2</f>
        <v>125.45</v>
      </c>
      <c r="J163" s="126"/>
      <c r="K163" s="154"/>
      <c r="L163" s="155"/>
      <c r="M163" s="124">
        <f>(B163*E163*3)*0.00533</f>
        <v>1.0029727500000001</v>
      </c>
      <c r="N163" s="124">
        <f>(B163*E163)*3.25*0.0038</f>
        <v>0.77465375000000003</v>
      </c>
      <c r="O163" s="56"/>
      <c r="Q163" s="65"/>
    </row>
    <row r="164" spans="1:17">
      <c r="A164" s="56"/>
      <c r="B164" s="126"/>
      <c r="C164" s="56"/>
      <c r="D164" s="65"/>
      <c r="E164" s="56"/>
      <c r="F164" s="56"/>
      <c r="G164" s="56"/>
      <c r="H164" s="166">
        <f>SUM(H163)</f>
        <v>9.4087499999999995</v>
      </c>
      <c r="I164" s="166">
        <f t="shared" ref="I164" si="91">SUM(I163)</f>
        <v>125.45</v>
      </c>
      <c r="J164" s="166">
        <f t="shared" ref="J164" si="92">SUM(J163)</f>
        <v>0</v>
      </c>
      <c r="K164" s="166">
        <f t="shared" ref="K164" si="93">SUM(K163)</f>
        <v>0</v>
      </c>
      <c r="L164" s="166">
        <f t="shared" ref="L164" si="94">SUM(L163)</f>
        <v>0</v>
      </c>
      <c r="M164" s="166">
        <f t="shared" ref="M164" si="95">SUM(M163)</f>
        <v>1.0029727500000001</v>
      </c>
      <c r="N164" s="166">
        <f t="shared" ref="N164" si="96">SUM(N163)</f>
        <v>0.77465375000000003</v>
      </c>
      <c r="O164" s="62"/>
    </row>
    <row r="165" spans="1:17">
      <c r="C165" s="80"/>
      <c r="D165" s="56"/>
      <c r="E165" s="56"/>
      <c r="F165" s="56"/>
      <c r="G165" s="49"/>
      <c r="H165" s="70"/>
      <c r="I165" s="70"/>
      <c r="J165" s="70"/>
      <c r="K165" s="70"/>
      <c r="L165" s="70"/>
      <c r="M165" s="70"/>
      <c r="N165" s="57"/>
      <c r="O165" s="80"/>
    </row>
    <row r="166" spans="1:17" ht="18">
      <c r="A166" s="480" t="s">
        <v>326</v>
      </c>
      <c r="B166" s="481"/>
      <c r="C166" s="481"/>
      <c r="D166" s="481"/>
      <c r="E166" s="481"/>
      <c r="F166" s="481"/>
      <c r="G166" s="481"/>
      <c r="H166" s="481"/>
      <c r="I166" s="481"/>
      <c r="J166" s="481"/>
      <c r="K166" s="481"/>
      <c r="L166" s="481"/>
      <c r="M166" s="481"/>
      <c r="N166" s="481"/>
      <c r="O166" s="482"/>
    </row>
    <row r="167" spans="1:17">
      <c r="A167" s="56" t="s">
        <v>187</v>
      </c>
      <c r="B167" s="126">
        <v>12</v>
      </c>
      <c r="C167" s="56">
        <v>0.22500000000000001</v>
      </c>
      <c r="D167" s="56">
        <v>0.42499999999999999</v>
      </c>
      <c r="E167" s="62">
        <f>3-0.475</f>
        <v>2.5249999999999999</v>
      </c>
      <c r="F167" s="56"/>
      <c r="G167" s="56"/>
      <c r="H167" s="56">
        <f>E167*D167*C167*B167</f>
        <v>2.8974374999999997</v>
      </c>
      <c r="I167" s="56">
        <f>(C167+D167*2)*B167*E167</f>
        <v>32.572499999999998</v>
      </c>
      <c r="J167" s="64">
        <f>(B167*0*3.5)/6</f>
        <v>0</v>
      </c>
      <c r="K167" s="64">
        <f>(B167*0*3.5)/6</f>
        <v>0</v>
      </c>
      <c r="L167" s="64">
        <f>(B167*10*3.75)/6</f>
        <v>75</v>
      </c>
      <c r="M167" s="64">
        <f>(B167*0*4.5)/6</f>
        <v>0</v>
      </c>
      <c r="N167" s="73"/>
      <c r="O167" s="56">
        <f>(E167/0.15*4*B167)/6</f>
        <v>134.66666666666666</v>
      </c>
      <c r="P167" s="54">
        <f>(0.3+0.24)*3</f>
        <v>1.62</v>
      </c>
      <c r="Q167" s="54">
        <f>0.22+0.22+0.35+0.2+0.35+0.25</f>
        <v>1.5899999999999999</v>
      </c>
    </row>
    <row r="168" spans="1:17">
      <c r="A168" s="56"/>
      <c r="B168" s="126"/>
      <c r="C168" s="56"/>
      <c r="D168" s="65"/>
      <c r="E168" s="62"/>
      <c r="F168" s="56"/>
      <c r="G168" s="56"/>
      <c r="H168" s="56">
        <f t="shared" ref="H168:H172" si="97">E168*D168*C168*B168</f>
        <v>0</v>
      </c>
      <c r="I168" s="56">
        <f t="shared" ref="I168:I172" si="98">(C168+D168*2)*B168*E168</f>
        <v>0</v>
      </c>
      <c r="J168" s="66">
        <f>J167*0.0231</f>
        <v>0</v>
      </c>
      <c r="K168" s="75">
        <f>K167*0.0148</f>
        <v>0</v>
      </c>
      <c r="L168" s="61">
        <f>L167*0.009468</f>
        <v>0.71010000000000006</v>
      </c>
      <c r="M168" s="61">
        <f>M167*0.00533</f>
        <v>0</v>
      </c>
      <c r="N168" s="56"/>
      <c r="O168" s="62">
        <f>O167*0.001332</f>
        <v>0.17937600000000001</v>
      </c>
    </row>
    <row r="169" spans="1:17">
      <c r="A169" s="56" t="s">
        <v>188</v>
      </c>
      <c r="B169" s="126">
        <v>19</v>
      </c>
      <c r="C169" s="56">
        <v>0.2</v>
      </c>
      <c r="D169" s="65">
        <v>0.35</v>
      </c>
      <c r="E169" s="62">
        <f>3-0.475</f>
        <v>2.5249999999999999</v>
      </c>
      <c r="F169" s="56"/>
      <c r="G169" s="56"/>
      <c r="H169" s="56">
        <f t="shared" si="97"/>
        <v>3.35825</v>
      </c>
      <c r="I169" s="56">
        <f t="shared" si="98"/>
        <v>43.177499999999995</v>
      </c>
      <c r="J169" s="64"/>
      <c r="K169" s="64">
        <f>(B169*0*3.5)/6</f>
        <v>0</v>
      </c>
      <c r="L169" s="64">
        <f>(B169*8*3.5)/6</f>
        <v>88.666666666666671</v>
      </c>
      <c r="M169" s="126"/>
      <c r="N169" s="56"/>
      <c r="O169" s="56">
        <f>(E169/0.15*3.5*B169)/6</f>
        <v>186.56944444444443</v>
      </c>
      <c r="Q169" s="54">
        <f>0.37+0.37+0.37+0.1</f>
        <v>1.21</v>
      </c>
    </row>
    <row r="170" spans="1:17">
      <c r="B170" s="126"/>
      <c r="C170" s="56"/>
      <c r="D170" s="65"/>
      <c r="E170" s="62"/>
      <c r="F170" s="56"/>
      <c r="G170" s="56"/>
      <c r="H170" s="56">
        <f t="shared" si="97"/>
        <v>0</v>
      </c>
      <c r="I170" s="56">
        <f t="shared" si="98"/>
        <v>0</v>
      </c>
      <c r="J170" s="64"/>
      <c r="K170" s="75">
        <f>K169*0.0148</f>
        <v>0</v>
      </c>
      <c r="L170" s="61">
        <f>L169*0.009468</f>
        <v>0.83949600000000013</v>
      </c>
      <c r="M170" s="126"/>
      <c r="N170" s="56"/>
      <c r="O170" s="62">
        <f>O169*0.001332</f>
        <v>0.2485105</v>
      </c>
      <c r="Q170" s="54">
        <f>0.4+0.35</f>
        <v>0.75</v>
      </c>
    </row>
    <row r="171" spans="1:17">
      <c r="A171" s="56" t="s">
        <v>189</v>
      </c>
      <c r="B171" s="126"/>
      <c r="C171" s="56"/>
      <c r="D171" s="65"/>
      <c r="E171" s="62"/>
      <c r="F171" s="56"/>
      <c r="G171" s="56"/>
      <c r="H171" s="56">
        <f t="shared" si="97"/>
        <v>0</v>
      </c>
      <c r="I171" s="56">
        <f t="shared" si="98"/>
        <v>0</v>
      </c>
      <c r="J171" s="61"/>
      <c r="K171" s="64">
        <f>(B173*10*3.5)/6</f>
        <v>0</v>
      </c>
      <c r="L171" s="64">
        <f>(B171*6*3.5)/6</f>
        <v>0</v>
      </c>
      <c r="M171" s="64">
        <f>(B171*0*4.5)/6</f>
        <v>0</v>
      </c>
      <c r="N171" s="56"/>
      <c r="O171" s="56">
        <f>(E171/0.15*1.8*B171)/6</f>
        <v>0</v>
      </c>
    </row>
    <row r="172" spans="1:17">
      <c r="A172" s="56"/>
      <c r="B172" s="126"/>
      <c r="C172" s="56"/>
      <c r="D172" s="65"/>
      <c r="E172" s="62"/>
      <c r="F172" s="56"/>
      <c r="G172" s="56"/>
      <c r="H172" s="56">
        <f t="shared" si="97"/>
        <v>0</v>
      </c>
      <c r="I172" s="56">
        <f t="shared" si="98"/>
        <v>0</v>
      </c>
      <c r="J172" s="64"/>
      <c r="K172" s="75">
        <f>K171*0.0148</f>
        <v>0</v>
      </c>
      <c r="L172" s="61">
        <f>L171*0.009468</f>
        <v>0</v>
      </c>
      <c r="M172" s="61">
        <f>M171*0.00533</f>
        <v>0</v>
      </c>
      <c r="N172" s="56"/>
      <c r="O172" s="62">
        <f>O171*0.001332</f>
        <v>0</v>
      </c>
      <c r="Q172" s="64"/>
    </row>
    <row r="173" spans="1:17">
      <c r="A173" s="48" t="s">
        <v>284</v>
      </c>
      <c r="B173" s="126"/>
      <c r="C173" s="56"/>
      <c r="D173" s="65"/>
      <c r="E173" s="62"/>
      <c r="F173" s="56"/>
      <c r="G173" s="56"/>
      <c r="H173" s="56">
        <f>E173*D173*C173*B173</f>
        <v>0</v>
      </c>
      <c r="I173" s="56">
        <f>(C173+D173*2)*B173*E173</f>
        <v>0</v>
      </c>
      <c r="J173" s="61"/>
      <c r="K173" s="64">
        <f>(B173*10*3.5)/6</f>
        <v>0</v>
      </c>
      <c r="L173" s="64">
        <f>(B173*10*3.5)/6</f>
        <v>0</v>
      </c>
      <c r="M173" s="126"/>
      <c r="N173" s="56"/>
      <c r="O173" s="56">
        <f>(E173/0.15*1.75*B173)/6</f>
        <v>0</v>
      </c>
      <c r="Q173" s="65"/>
    </row>
    <row r="174" spans="1:17">
      <c r="B174" s="126"/>
      <c r="C174" s="56"/>
      <c r="D174" s="65"/>
      <c r="E174" s="62"/>
      <c r="F174" s="56"/>
      <c r="G174" s="56"/>
      <c r="H174" s="56">
        <f t="shared" ref="H174:H177" si="99">E174*D174*C174*B174</f>
        <v>0</v>
      </c>
      <c r="I174" s="56">
        <f t="shared" ref="I174:I177" si="100">(C174+D174*2)*B174*E174</f>
        <v>0</v>
      </c>
      <c r="J174" s="64"/>
      <c r="K174" s="75">
        <f>K173*0.0148</f>
        <v>0</v>
      </c>
      <c r="L174" s="61">
        <f>L173*0.009468</f>
        <v>0</v>
      </c>
      <c r="M174" s="126"/>
      <c r="N174" s="56"/>
      <c r="O174" s="62">
        <f>O173*0.001332</f>
        <v>0</v>
      </c>
    </row>
    <row r="175" spans="1:17">
      <c r="A175" s="48" t="s">
        <v>304</v>
      </c>
      <c r="B175" s="126"/>
      <c r="C175" s="56"/>
      <c r="D175" s="65"/>
      <c r="E175" s="62"/>
      <c r="F175" s="56"/>
      <c r="G175" s="56"/>
      <c r="H175" s="56">
        <f t="shared" si="99"/>
        <v>0</v>
      </c>
      <c r="I175" s="56">
        <f t="shared" si="100"/>
        <v>0</v>
      </c>
      <c r="J175" s="64"/>
      <c r="K175" s="71"/>
      <c r="L175" s="72"/>
      <c r="M175" s="126"/>
      <c r="N175" s="56"/>
      <c r="O175" s="56"/>
    </row>
    <row r="176" spans="1:17">
      <c r="B176" s="126"/>
      <c r="C176" s="56"/>
      <c r="D176" s="65"/>
      <c r="E176" s="62"/>
      <c r="F176" s="56"/>
      <c r="G176" s="56"/>
      <c r="H176" s="56">
        <f t="shared" si="99"/>
        <v>0</v>
      </c>
      <c r="I176" s="56">
        <f t="shared" si="100"/>
        <v>0</v>
      </c>
      <c r="J176" s="64"/>
      <c r="K176" s="64">
        <f>(B176*12*3.5)/6</f>
        <v>0</v>
      </c>
      <c r="M176" s="126"/>
      <c r="N176" s="56"/>
      <c r="O176" s="56">
        <f>(E176/0.15*2*B176)/6</f>
        <v>0</v>
      </c>
      <c r="Q176" s="65"/>
    </row>
    <row r="177" spans="1:17">
      <c r="A177" s="48" t="s">
        <v>305</v>
      </c>
      <c r="B177" s="126"/>
      <c r="C177" s="56"/>
      <c r="D177" s="65"/>
      <c r="E177" s="62"/>
      <c r="F177" s="56"/>
      <c r="G177" s="56"/>
      <c r="H177" s="56">
        <f t="shared" si="99"/>
        <v>0</v>
      </c>
      <c r="I177" s="56">
        <f t="shared" si="100"/>
        <v>0</v>
      </c>
      <c r="J177" s="66"/>
      <c r="K177" s="75">
        <f>K176*0.0148</f>
        <v>0</v>
      </c>
      <c r="M177" s="126"/>
      <c r="N177" s="56"/>
      <c r="O177" s="62">
        <f>O176*0.001332</f>
        <v>0</v>
      </c>
    </row>
    <row r="178" spans="1:17">
      <c r="B178" s="126"/>
      <c r="C178" s="56"/>
      <c r="D178" s="65"/>
      <c r="E178" s="62"/>
      <c r="F178" s="56"/>
      <c r="G178" s="56"/>
      <c r="H178" s="185">
        <f>SUM(H167:H177)</f>
        <v>6.2556874999999996</v>
      </c>
      <c r="I178" s="185">
        <f t="shared" ref="I178:J178" si="101">SUM(I167:I177)</f>
        <v>75.75</v>
      </c>
      <c r="J178" s="56">
        <f t="shared" si="101"/>
        <v>0</v>
      </c>
      <c r="K178" s="185">
        <f>K174+K172+K170+K168</f>
        <v>0</v>
      </c>
      <c r="L178" s="185">
        <f>L174+L172+L170+L168</f>
        <v>1.5495960000000002</v>
      </c>
      <c r="M178" s="185">
        <f>M174+M172+M170+M168</f>
        <v>0</v>
      </c>
      <c r="N178" s="185">
        <f t="shared" ref="N178" si="102">N174+N172+N170+N168</f>
        <v>0</v>
      </c>
      <c r="O178" s="185">
        <f>O174+O172+O170+O168</f>
        <v>0.4278865</v>
      </c>
    </row>
    <row r="179" spans="1:17">
      <c r="B179" s="126"/>
      <c r="C179" s="56"/>
      <c r="D179" s="65"/>
      <c r="E179" s="62"/>
      <c r="F179" s="56"/>
      <c r="G179" s="56"/>
      <c r="H179" s="56"/>
      <c r="I179" s="56"/>
      <c r="J179" s="66"/>
      <c r="K179" s="75"/>
      <c r="L179" s="63"/>
      <c r="M179" s="126"/>
      <c r="N179" s="56"/>
      <c r="O179" s="62"/>
    </row>
    <row r="180" spans="1:17">
      <c r="B180" s="126"/>
      <c r="C180" s="56"/>
      <c r="D180" s="65"/>
      <c r="E180" s="62"/>
      <c r="F180" s="181">
        <f>0.575/2</f>
        <v>0.28749999999999998</v>
      </c>
      <c r="G180" s="56"/>
      <c r="H180" s="56"/>
      <c r="I180" s="56"/>
      <c r="J180" s="66"/>
      <c r="K180" s="75"/>
      <c r="L180" s="63"/>
      <c r="M180" s="126"/>
      <c r="N180" s="56"/>
      <c r="O180" s="62"/>
    </row>
    <row r="181" spans="1:17">
      <c r="A181" s="78" t="s">
        <v>248</v>
      </c>
      <c r="B181" s="126">
        <v>17</v>
      </c>
      <c r="C181" s="56">
        <v>0.25</v>
      </c>
      <c r="D181" s="65">
        <v>0.17599999999999999</v>
      </c>
      <c r="E181" s="56">
        <v>0.85</v>
      </c>
      <c r="F181" s="56">
        <v>0.5</v>
      </c>
      <c r="G181" s="56"/>
      <c r="H181" s="56">
        <f>E181*D181*C181*B181*F181</f>
        <v>0.31789999999999996</v>
      </c>
      <c r="I181" s="56">
        <f>E181*D181*B181</f>
        <v>2.5431999999999997</v>
      </c>
      <c r="J181" s="64"/>
      <c r="K181" s="75"/>
      <c r="L181" s="56"/>
      <c r="M181" s="48"/>
      <c r="N181" s="64">
        <f>B183*B182*6</f>
        <v>47.25</v>
      </c>
      <c r="O181" s="56"/>
    </row>
    <row r="182" spans="1:17">
      <c r="A182" s="56"/>
      <c r="B182" s="48">
        <v>5.25</v>
      </c>
      <c r="C182" s="56">
        <v>0.85</v>
      </c>
      <c r="D182" s="56">
        <v>0.15</v>
      </c>
      <c r="E182" s="56">
        <v>1</v>
      </c>
      <c r="F182" s="56">
        <v>1</v>
      </c>
      <c r="G182" s="56"/>
      <c r="H182" s="56">
        <f>E182*D182*C182*B182*F182</f>
        <v>0.66937500000000005</v>
      </c>
      <c r="I182" s="56">
        <f>((B182*C182*E182)+(11.4*0.15))</f>
        <v>6.1724999999999994</v>
      </c>
      <c r="J182" s="56"/>
      <c r="K182" s="56"/>
      <c r="L182" s="56">
        <f>(6+7)/2</f>
        <v>6.5</v>
      </c>
      <c r="M182" s="126"/>
      <c r="N182" s="64">
        <f>N181*3.778</f>
        <v>178.51050000000001</v>
      </c>
      <c r="O182" s="56"/>
    </row>
    <row r="183" spans="1:17">
      <c r="A183" s="56"/>
      <c r="B183" s="48">
        <v>1.5</v>
      </c>
      <c r="C183" s="56">
        <v>0.15</v>
      </c>
      <c r="D183" s="56">
        <v>0.9</v>
      </c>
      <c r="E183" s="56">
        <v>1</v>
      </c>
      <c r="F183" s="56">
        <v>1</v>
      </c>
      <c r="G183" s="56"/>
      <c r="H183" s="56">
        <f>E183*D183*C183*B183*F183</f>
        <v>0.20250000000000001</v>
      </c>
      <c r="I183" s="56">
        <f>D183*B183</f>
        <v>1.35</v>
      </c>
      <c r="J183" s="56"/>
      <c r="K183" s="56"/>
      <c r="L183" s="56"/>
      <c r="M183" s="124"/>
      <c r="N183" s="66">
        <f>(N182*0.001)*1.2</f>
        <v>0.2142126</v>
      </c>
      <c r="O183" s="56"/>
      <c r="Q183" s="67">
        <f>3.778*0.001</f>
        <v>3.7780000000000001E-3</v>
      </c>
    </row>
    <row r="184" spans="1:17">
      <c r="A184" s="56"/>
      <c r="B184" s="48"/>
      <c r="C184" s="56"/>
      <c r="D184" s="56"/>
      <c r="E184" s="56"/>
      <c r="F184" s="56"/>
      <c r="G184" s="49"/>
      <c r="H184" s="79">
        <f>SUM(H181:H183)</f>
        <v>1.189775</v>
      </c>
      <c r="I184" s="79">
        <f>SUM(I181:I183)</f>
        <v>10.065699999999998</v>
      </c>
      <c r="J184" s="56"/>
      <c r="K184" s="80"/>
      <c r="L184" s="80"/>
      <c r="M184" s="48"/>
      <c r="N184" s="56"/>
      <c r="O184" s="56"/>
      <c r="Q184" s="67">
        <v>3.7780000000000001E-3</v>
      </c>
    </row>
    <row r="185" spans="1:17">
      <c r="A185" s="48" t="s">
        <v>307</v>
      </c>
      <c r="B185" s="126">
        <f>1.5</f>
        <v>1.5</v>
      </c>
      <c r="C185" s="56">
        <v>0.15</v>
      </c>
      <c r="D185" s="65">
        <v>2.5499999999999998</v>
      </c>
      <c r="E185" s="62">
        <v>2</v>
      </c>
      <c r="F185" s="56"/>
      <c r="G185" s="56"/>
      <c r="H185" s="58">
        <f t="shared" ref="H185" si="103">E185*D185*C185*B185</f>
        <v>1.1475</v>
      </c>
      <c r="I185" s="58">
        <f>B185*D185*2</f>
        <v>7.6499999999999995</v>
      </c>
      <c r="J185" s="69"/>
      <c r="K185" s="57"/>
      <c r="L185" s="100"/>
      <c r="M185" s="66">
        <f>(B185*0)*0.00533</f>
        <v>0</v>
      </c>
      <c r="N185" s="66">
        <f>(B185*D185)*3.25*0.0038</f>
        <v>4.7238749999999996E-2</v>
      </c>
      <c r="O185" s="56"/>
    </row>
    <row r="186" spans="1:17">
      <c r="A186" s="56" t="s">
        <v>285</v>
      </c>
      <c r="B186" s="126">
        <f>2.35+2.35+0.15+0.15+3.15+3.15+3.15+4.85-2.4</f>
        <v>16.900000000000002</v>
      </c>
      <c r="C186" s="56">
        <v>0.15</v>
      </c>
      <c r="D186" s="65">
        <v>1</v>
      </c>
      <c r="E186" s="62">
        <f>3.4-0.15</f>
        <v>3.25</v>
      </c>
      <c r="F186" s="56"/>
      <c r="G186" s="56"/>
      <c r="H186" s="48">
        <f>E186*D186*C186*B186</f>
        <v>8.2387500000000014</v>
      </c>
      <c r="I186" s="48">
        <f>B186*E186*2</f>
        <v>109.85000000000001</v>
      </c>
      <c r="J186" s="126"/>
      <c r="K186" s="154"/>
      <c r="L186" s="155"/>
      <c r="M186" s="124">
        <f>(B186*E186*3)*0.00533</f>
        <v>0.87825074999999997</v>
      </c>
      <c r="N186" s="124">
        <f>(B186*E186)*3.25*0.0038</f>
        <v>0.67832375000000011</v>
      </c>
      <c r="O186" s="56"/>
      <c r="Q186" s="65"/>
    </row>
    <row r="187" spans="1:17">
      <c r="A187" s="56"/>
      <c r="B187" s="126"/>
      <c r="C187" s="56"/>
      <c r="D187" s="65"/>
      <c r="E187" s="56"/>
      <c r="F187" s="56"/>
      <c r="G187" s="56"/>
      <c r="H187" s="166">
        <f>SUM(H186)</f>
        <v>8.2387500000000014</v>
      </c>
      <c r="I187" s="166">
        <f t="shared" ref="I187" si="104">SUM(I186)</f>
        <v>109.85000000000001</v>
      </c>
      <c r="J187" s="166">
        <f t="shared" ref="J187" si="105">SUM(J186)</f>
        <v>0</v>
      </c>
      <c r="K187" s="166">
        <f t="shared" ref="K187" si="106">SUM(K186)</f>
        <v>0</v>
      </c>
      <c r="L187" s="166">
        <f t="shared" ref="L187" si="107">SUM(L186)</f>
        <v>0</v>
      </c>
      <c r="M187" s="166">
        <f t="shared" ref="M187" si="108">SUM(M186)</f>
        <v>0.87825074999999997</v>
      </c>
      <c r="N187" s="166">
        <f t="shared" ref="N187" si="109">SUM(N186)</f>
        <v>0.67832375000000011</v>
      </c>
      <c r="O187" s="62"/>
    </row>
    <row r="188" spans="1:17">
      <c r="A188" s="49"/>
      <c r="B188" s="125">
        <f>(1.025+3.235+0.36)</f>
        <v>4.62</v>
      </c>
      <c r="C188" s="50"/>
      <c r="D188" s="50"/>
      <c r="E188" s="50"/>
      <c r="F188" s="56"/>
      <c r="G188" s="49"/>
      <c r="H188" s="51" t="s">
        <v>184</v>
      </c>
      <c r="I188" s="52" t="s">
        <v>185</v>
      </c>
      <c r="J188" s="53">
        <v>25</v>
      </c>
      <c r="K188" s="53">
        <v>20</v>
      </c>
      <c r="L188" s="53">
        <v>16</v>
      </c>
      <c r="M188" s="53">
        <v>12</v>
      </c>
      <c r="N188" s="53">
        <v>10</v>
      </c>
      <c r="O188" s="79">
        <v>6</v>
      </c>
      <c r="P188" s="50"/>
    </row>
    <row r="189" spans="1:17">
      <c r="A189" s="488" t="s">
        <v>250</v>
      </c>
      <c r="B189" s="489"/>
      <c r="C189" s="489"/>
      <c r="D189" s="489"/>
      <c r="E189" s="489"/>
      <c r="F189" s="489"/>
      <c r="G189" s="489"/>
      <c r="H189" s="489"/>
      <c r="I189" s="489"/>
      <c r="J189" s="489"/>
      <c r="K189" s="489"/>
      <c r="L189" s="489"/>
      <c r="M189" s="489"/>
      <c r="N189" s="489"/>
      <c r="O189" s="490"/>
    </row>
    <row r="190" spans="1:17">
      <c r="A190" s="56" t="s">
        <v>190</v>
      </c>
      <c r="B190" s="126">
        <f>(6.079*3)+1.851+2.443</f>
        <v>22.530999999999999</v>
      </c>
      <c r="C190" s="56">
        <v>0.2</v>
      </c>
      <c r="D190" s="56">
        <f>0.475-0.135</f>
        <v>0.33999999999999997</v>
      </c>
      <c r="E190" s="56"/>
      <c r="F190" s="56">
        <f>0.4+C190+D190</f>
        <v>0.94000000000000006</v>
      </c>
      <c r="G190" s="56"/>
      <c r="H190" s="56">
        <f>D190*C190*B190</f>
        <v>1.5321079999999998</v>
      </c>
      <c r="I190" s="56">
        <f>B190*F190</f>
        <v>21.17914</v>
      </c>
      <c r="J190" s="63">
        <f>(B190*0/6)*0.0231</f>
        <v>0</v>
      </c>
      <c r="K190" s="63">
        <f>(B190*9/6)*0.0148</f>
        <v>0.50018820000000008</v>
      </c>
      <c r="L190" s="63">
        <f>(B190*9/6)*0.009468</f>
        <v>0.31998526200000005</v>
      </c>
      <c r="M190" s="124">
        <f t="shared" ref="M190:M192" si="110">(B190*0)/6*0.00533</f>
        <v>0</v>
      </c>
      <c r="N190" s="63"/>
      <c r="O190" s="62">
        <f>((B190/0.11*2*3)/6)*0.001332</f>
        <v>0.27282992727272731</v>
      </c>
      <c r="P190" s="54">
        <f>0.35+0.35+0.24+0.1</f>
        <v>1.04</v>
      </c>
    </row>
    <row r="191" spans="1:17">
      <c r="A191" s="48" t="s">
        <v>446</v>
      </c>
      <c r="B191" s="126">
        <f>(6.079*1)+2.65</f>
        <v>8.7289999999999992</v>
      </c>
      <c r="C191" s="56">
        <v>0.2</v>
      </c>
      <c r="D191" s="56">
        <f t="shared" ref="D191" si="111">0.475-0.135</f>
        <v>0.33999999999999997</v>
      </c>
      <c r="E191" s="56"/>
      <c r="F191" s="56">
        <f>0.4+C191+D191</f>
        <v>0.94000000000000006</v>
      </c>
      <c r="G191" s="56"/>
      <c r="H191" s="56">
        <f>D191*C191*B191</f>
        <v>0.59357199999999988</v>
      </c>
      <c r="I191" s="56">
        <f>B191*F191</f>
        <v>8.2052599999999991</v>
      </c>
      <c r="J191" s="63">
        <f>(B191*0/6)*0.0231</f>
        <v>0</v>
      </c>
      <c r="K191" s="63">
        <f>(B191*15/6)*0.0148</f>
        <v>0.32297300000000001</v>
      </c>
      <c r="L191" s="63">
        <f>(B191*12/6)*0.009468</f>
        <v>0.16529234400000001</v>
      </c>
      <c r="M191" s="124">
        <f t="shared" si="110"/>
        <v>0</v>
      </c>
      <c r="N191" s="63"/>
      <c r="O191" s="62">
        <f>((B191/0.15*2*2)/6)*0.001332</f>
        <v>5.1675679999999995E-2</v>
      </c>
      <c r="P191" s="54">
        <f>0.35+0.35+0.24+0.1</f>
        <v>1.04</v>
      </c>
    </row>
    <row r="192" spans="1:17">
      <c r="A192" s="56" t="s">
        <v>191</v>
      </c>
      <c r="B192" s="125">
        <f>(4.88*8)+3.15+2.443+2.5</f>
        <v>47.132999999999996</v>
      </c>
      <c r="C192" s="56">
        <v>0.2</v>
      </c>
      <c r="D192" s="56">
        <f>0.4-0.135</f>
        <v>0.26500000000000001</v>
      </c>
      <c r="E192" s="56"/>
      <c r="F192" s="56">
        <f t="shared" ref="F192:F194" si="112">0.4+C192+D192</f>
        <v>0.8650000000000001</v>
      </c>
      <c r="G192" s="56"/>
      <c r="H192" s="56">
        <f t="shared" ref="H192:H197" si="113">D192*C192*B192</f>
        <v>2.498049</v>
      </c>
      <c r="I192" s="56">
        <f t="shared" ref="I192:I197" si="114">B192*F192</f>
        <v>40.770045000000003</v>
      </c>
      <c r="J192" s="63">
        <f t="shared" ref="J192:J195" si="115">(B192*0/6)*0.0231</f>
        <v>0</v>
      </c>
      <c r="K192" s="63">
        <f t="shared" ref="K192:K195" si="116">(B192*0/6)*0.0148</f>
        <v>0</v>
      </c>
      <c r="L192" s="63">
        <f>(B192*15/6)*0.009468</f>
        <v>1.1156381099999999</v>
      </c>
      <c r="M192" s="124">
        <f t="shared" si="110"/>
        <v>0</v>
      </c>
      <c r="N192" s="63"/>
      <c r="O192" s="62">
        <f>((B192/0.11*2*2.5)/6)*0.001332</f>
        <v>0.47561481818181811</v>
      </c>
    </row>
    <row r="193" spans="1:15">
      <c r="A193" s="56" t="s">
        <v>306</v>
      </c>
      <c r="B193" s="48">
        <f>(3.15*6)+(1.676*6)</f>
        <v>28.955999999999996</v>
      </c>
      <c r="C193" s="56">
        <v>0.2</v>
      </c>
      <c r="D193" s="56">
        <f t="shared" ref="D193:D194" si="117">0.4-0.135</f>
        <v>0.26500000000000001</v>
      </c>
      <c r="E193" s="56"/>
      <c r="F193" s="56">
        <f t="shared" si="112"/>
        <v>0.8650000000000001</v>
      </c>
      <c r="G193" s="56"/>
      <c r="H193" s="56">
        <f t="shared" si="113"/>
        <v>1.5346679999999999</v>
      </c>
      <c r="I193" s="56">
        <f t="shared" si="114"/>
        <v>25.046939999999999</v>
      </c>
      <c r="J193" s="63">
        <f t="shared" si="115"/>
        <v>0</v>
      </c>
      <c r="K193" s="63">
        <f t="shared" si="116"/>
        <v>0</v>
      </c>
      <c r="L193" s="63">
        <f>(B193*6/6)*0.009468</f>
        <v>0.27415540799999999</v>
      </c>
      <c r="M193" s="124">
        <f>(B193*0)/6*0.00533</f>
        <v>0</v>
      </c>
      <c r="N193" s="63"/>
      <c r="O193" s="62">
        <f>((B193/0.15*2*2.5)/6)*0.001332</f>
        <v>0.21427439999999998</v>
      </c>
    </row>
    <row r="194" spans="1:15">
      <c r="A194" s="56" t="s">
        <v>192</v>
      </c>
      <c r="B194" s="48">
        <f>3.15+6.944+6+(25.7*3)+3.5+6.55</f>
        <v>103.24399999999999</v>
      </c>
      <c r="C194" s="56">
        <v>0.2</v>
      </c>
      <c r="D194" s="56">
        <f t="shared" si="117"/>
        <v>0.26500000000000001</v>
      </c>
      <c r="E194" s="56"/>
      <c r="F194" s="56">
        <f t="shared" si="112"/>
        <v>0.8650000000000001</v>
      </c>
      <c r="G194" s="56"/>
      <c r="H194" s="56">
        <f t="shared" si="113"/>
        <v>5.4719319999999998</v>
      </c>
      <c r="I194" s="56">
        <f t="shared" si="114"/>
        <v>89.306060000000002</v>
      </c>
      <c r="J194" s="63">
        <f t="shared" si="115"/>
        <v>0</v>
      </c>
      <c r="K194" s="63">
        <f t="shared" si="116"/>
        <v>0</v>
      </c>
      <c r="L194" s="63">
        <f>(B194*9/6)*0.009468</f>
        <v>1.466271288</v>
      </c>
      <c r="M194" s="124">
        <f t="shared" ref="M194:M198" si="118">(B194*0)/6*0.00533</f>
        <v>0</v>
      </c>
      <c r="N194" s="63"/>
      <c r="O194" s="62">
        <f>((B194/0.15*1*2.5)/6)*0.001332</f>
        <v>0.38200279999999992</v>
      </c>
    </row>
    <row r="195" spans="1:15">
      <c r="A195" s="56"/>
      <c r="B195" s="48"/>
      <c r="C195" s="56"/>
      <c r="D195" s="56"/>
      <c r="E195" s="56"/>
      <c r="F195" s="56"/>
      <c r="G195" s="56"/>
      <c r="H195" s="56">
        <f t="shared" si="113"/>
        <v>0</v>
      </c>
      <c r="I195" s="56">
        <f t="shared" si="114"/>
        <v>0</v>
      </c>
      <c r="J195" s="63">
        <f t="shared" si="115"/>
        <v>0</v>
      </c>
      <c r="K195" s="63">
        <f t="shared" si="116"/>
        <v>0</v>
      </c>
      <c r="L195" s="63">
        <f>(B195*12/6)*0.009468</f>
        <v>0</v>
      </c>
      <c r="M195" s="124">
        <f t="shared" si="118"/>
        <v>0</v>
      </c>
      <c r="N195" s="63"/>
      <c r="O195" s="62">
        <f>((B195/0.15*2*1.5)/6)*0.001332</f>
        <v>0</v>
      </c>
    </row>
    <row r="196" spans="1:15">
      <c r="A196" s="56"/>
      <c r="B196" s="48"/>
      <c r="C196" s="56"/>
      <c r="D196" s="56"/>
      <c r="E196" s="56"/>
      <c r="F196" s="56"/>
      <c r="G196" s="56"/>
      <c r="H196" s="56">
        <f t="shared" si="113"/>
        <v>0</v>
      </c>
      <c r="I196" s="56">
        <f t="shared" si="114"/>
        <v>0</v>
      </c>
      <c r="J196" s="63"/>
      <c r="K196" s="63"/>
      <c r="L196" s="63">
        <f>(B196*0/6)*0.009468</f>
        <v>0</v>
      </c>
      <c r="M196" s="124">
        <f t="shared" si="118"/>
        <v>0</v>
      </c>
      <c r="N196" s="63"/>
      <c r="O196" s="62">
        <f t="shared" ref="O196:O198" si="119">((B196/0.15*1*1.5)/6)*0.001332</f>
        <v>0</v>
      </c>
    </row>
    <row r="197" spans="1:15">
      <c r="A197" s="56"/>
      <c r="B197" s="48"/>
      <c r="C197" s="56"/>
      <c r="D197" s="56"/>
      <c r="E197" s="56"/>
      <c r="F197" s="56"/>
      <c r="G197" s="56"/>
      <c r="H197" s="56">
        <f t="shared" si="113"/>
        <v>0</v>
      </c>
      <c r="I197" s="56">
        <f t="shared" si="114"/>
        <v>0</v>
      </c>
      <c r="J197" s="63"/>
      <c r="K197" s="63"/>
      <c r="L197" s="63"/>
      <c r="M197" s="124">
        <f t="shared" si="118"/>
        <v>0</v>
      </c>
      <c r="N197" s="63"/>
      <c r="O197" s="62">
        <f t="shared" si="119"/>
        <v>0</v>
      </c>
    </row>
    <row r="198" spans="1:15">
      <c r="A198" s="56"/>
      <c r="B198" s="48"/>
      <c r="C198" s="56"/>
      <c r="D198" s="56"/>
      <c r="E198" s="56"/>
      <c r="F198" s="56"/>
      <c r="G198" s="56"/>
      <c r="H198" s="56"/>
      <c r="I198" s="56"/>
      <c r="J198" s="63"/>
      <c r="K198" s="63"/>
      <c r="L198" s="63"/>
      <c r="M198" s="124">
        <f t="shared" si="118"/>
        <v>0</v>
      </c>
      <c r="N198" s="63"/>
      <c r="O198" s="62">
        <f t="shared" si="119"/>
        <v>0</v>
      </c>
    </row>
    <row r="199" spans="1:15">
      <c r="A199" s="48" t="s">
        <v>224</v>
      </c>
      <c r="B199" s="48">
        <v>0</v>
      </c>
      <c r="C199" s="56">
        <v>0.2</v>
      </c>
      <c r="D199" s="56">
        <f t="shared" ref="D199" si="120">0.4-0.13</f>
        <v>0.27</v>
      </c>
      <c r="E199" s="56"/>
      <c r="F199" s="56">
        <f t="shared" ref="F199" si="121">0.4+C199+D199</f>
        <v>0.87000000000000011</v>
      </c>
      <c r="G199" s="56"/>
      <c r="H199" s="56">
        <f t="shared" ref="H199" si="122">D199*C199*B199</f>
        <v>0</v>
      </c>
      <c r="I199" s="56">
        <f t="shared" ref="I199" si="123">B199*F199</f>
        <v>0</v>
      </c>
      <c r="J199" s="63">
        <f t="shared" ref="J199" si="124">(B199*0/6)*0.0231</f>
        <v>0</v>
      </c>
      <c r="K199" s="63">
        <f>(B199*7.5/6)*0.0148</f>
        <v>0</v>
      </c>
      <c r="L199" s="63">
        <f>(B199*0/6)*0.009468</f>
        <v>0</v>
      </c>
      <c r="M199" s="124">
        <f t="shared" ref="M199" si="125">(B199*0)/6*0.00533</f>
        <v>0</v>
      </c>
      <c r="N199" s="63">
        <f>(0*2.5/6)*0.003778</f>
        <v>0</v>
      </c>
      <c r="O199" s="62">
        <f>((B199/0.075*2*1.5)/6)*0.001332</f>
        <v>0</v>
      </c>
    </row>
    <row r="200" spans="1:15" s="165" customFormat="1">
      <c r="A200" s="163"/>
      <c r="B200" s="171"/>
      <c r="C200" s="163"/>
      <c r="D200" s="163"/>
      <c r="E200" s="163"/>
      <c r="F200" s="163"/>
      <c r="G200" s="163"/>
      <c r="H200" s="163"/>
      <c r="I200" s="163"/>
      <c r="J200" s="170"/>
      <c r="K200" s="170"/>
      <c r="L200" s="170"/>
      <c r="M200" s="160"/>
      <c r="N200" s="170"/>
      <c r="O200" s="164"/>
    </row>
    <row r="201" spans="1:15" s="165" customFormat="1">
      <c r="A201" s="171"/>
      <c r="B201" s="171"/>
      <c r="C201" s="163"/>
      <c r="D201" s="163"/>
      <c r="E201" s="163"/>
      <c r="F201" s="163"/>
      <c r="G201" s="163"/>
      <c r="H201" s="163"/>
      <c r="I201" s="163"/>
      <c r="J201" s="163"/>
      <c r="K201" s="170"/>
      <c r="L201" s="170"/>
      <c r="M201" s="160"/>
      <c r="N201" s="170"/>
      <c r="O201" s="164"/>
    </row>
    <row r="202" spans="1:15" s="165" customFormat="1">
      <c r="A202" s="171"/>
      <c r="B202" s="171"/>
      <c r="C202" s="163"/>
      <c r="D202" s="163"/>
      <c r="E202" s="163"/>
      <c r="F202" s="163"/>
      <c r="G202" s="163"/>
      <c r="H202" s="163"/>
      <c r="I202" s="163"/>
      <c r="J202" s="170"/>
      <c r="K202" s="170"/>
      <c r="L202" s="170"/>
      <c r="M202" s="160"/>
      <c r="N202" s="170"/>
      <c r="O202" s="164"/>
    </row>
    <row r="203" spans="1:15">
      <c r="A203" s="48"/>
      <c r="B203" s="48">
        <f>SUM(B190:B202)</f>
        <v>210.59299999999996</v>
      </c>
      <c r="C203" s="163">
        <v>0.2</v>
      </c>
      <c r="D203" s="56"/>
      <c r="E203" s="56">
        <f>B203*C203</f>
        <v>42.118599999999994</v>
      </c>
      <c r="F203" s="56"/>
      <c r="G203" s="56"/>
      <c r="H203" s="56"/>
      <c r="I203" s="56"/>
      <c r="J203" s="56"/>
      <c r="K203" s="63"/>
      <c r="L203" s="63"/>
      <c r="M203" s="124"/>
      <c r="N203" s="63"/>
      <c r="O203" s="62"/>
    </row>
    <row r="204" spans="1:15">
      <c r="A204" s="48"/>
      <c r="B204" s="48"/>
      <c r="C204" s="56"/>
      <c r="D204" s="56"/>
      <c r="E204" s="56"/>
      <c r="F204" s="56"/>
      <c r="G204" s="56"/>
      <c r="H204" s="56"/>
      <c r="I204" s="56"/>
      <c r="J204" s="56"/>
      <c r="K204" s="63"/>
      <c r="L204" s="63"/>
      <c r="M204" s="124"/>
      <c r="N204" s="63"/>
      <c r="O204" s="62"/>
    </row>
    <row r="205" spans="1:15">
      <c r="A205" s="48"/>
      <c r="B205" s="48"/>
      <c r="C205" s="56"/>
      <c r="D205" s="56"/>
      <c r="E205" s="56"/>
      <c r="F205" s="56"/>
      <c r="G205" s="56"/>
      <c r="H205" s="56"/>
      <c r="I205" s="56"/>
      <c r="J205" s="56"/>
      <c r="K205" s="63"/>
      <c r="L205" s="63"/>
      <c r="M205" s="124"/>
      <c r="N205" s="63"/>
      <c r="O205" s="62"/>
    </row>
    <row r="206" spans="1:15">
      <c r="A206" s="56"/>
      <c r="B206" s="48"/>
      <c r="C206" s="56"/>
      <c r="D206" s="56"/>
      <c r="E206" s="62"/>
      <c r="F206" s="56"/>
      <c r="G206" s="56"/>
      <c r="H206" s="56"/>
      <c r="I206" s="56">
        <f t="shared" ref="I206" si="126">B206*F206</f>
        <v>0</v>
      </c>
      <c r="J206" s="56"/>
      <c r="K206" s="56"/>
      <c r="L206" s="64">
        <f>L194</f>
        <v>1.466271288</v>
      </c>
      <c r="M206" s="126"/>
      <c r="N206" s="64"/>
      <c r="O206" s="56"/>
    </row>
    <row r="207" spans="1:15">
      <c r="A207" s="49" t="s">
        <v>193</v>
      </c>
      <c r="C207" s="80"/>
      <c r="D207" s="56"/>
      <c r="E207" s="56"/>
      <c r="F207" s="56"/>
      <c r="G207" s="56"/>
      <c r="H207" s="68"/>
      <c r="I207" s="68"/>
      <c r="J207" s="68"/>
      <c r="K207" s="81"/>
      <c r="L207" s="74">
        <f>L206*0.009468</f>
        <v>1.3882656554784E-2</v>
      </c>
      <c r="M207" s="48"/>
      <c r="N207" s="82"/>
      <c r="O207" s="56"/>
    </row>
    <row r="208" spans="1:15">
      <c r="A208" s="49"/>
      <c r="B208" s="127"/>
      <c r="C208" s="80">
        <f>336.5-C209-B214</f>
        <v>249.9255</v>
      </c>
      <c r="D208" s="56">
        <v>0.13500000000000001</v>
      </c>
      <c r="E208" s="56">
        <f>D208*C208</f>
        <v>33.739942500000005</v>
      </c>
      <c r="F208" s="56"/>
      <c r="G208" s="56"/>
      <c r="H208" s="68">
        <f>E208</f>
        <v>33.739942500000005</v>
      </c>
      <c r="I208" s="68">
        <f>C208</f>
        <v>249.9255</v>
      </c>
      <c r="J208" s="68" t="s">
        <v>226</v>
      </c>
      <c r="K208" s="68"/>
      <c r="L208" s="68"/>
      <c r="M208" s="48"/>
      <c r="N208" s="83">
        <f>(J209*5)*0.003778</f>
        <v>6.144435305</v>
      </c>
      <c r="O208" s="56"/>
    </row>
    <row r="209" spans="1:18">
      <c r="B209" s="128"/>
      <c r="C209" s="49">
        <f>75.349</f>
        <v>75.349000000000004</v>
      </c>
      <c r="D209" s="54">
        <v>0.15</v>
      </c>
      <c r="E209" s="56">
        <f>D209*C209</f>
        <v>11.302350000000001</v>
      </c>
      <c r="F209" s="99"/>
      <c r="G209" s="56"/>
      <c r="H209" s="68">
        <f>E209</f>
        <v>11.302350000000001</v>
      </c>
      <c r="I209" s="68">
        <f>C209</f>
        <v>75.349000000000004</v>
      </c>
      <c r="J209" s="68">
        <f>C208+C209</f>
        <v>325.27449999999999</v>
      </c>
      <c r="K209" s="81"/>
      <c r="L209" s="81"/>
      <c r="M209" s="48"/>
      <c r="N209" s="83"/>
      <c r="O209" s="56"/>
      <c r="Q209" s="54">
        <f>2.163+1.077+1.584+3.175+1.55+3.15+1.525</f>
        <v>14.224</v>
      </c>
      <c r="R209" s="54">
        <v>4.0350000000000001</v>
      </c>
    </row>
    <row r="210" spans="1:18">
      <c r="A210" s="49"/>
      <c r="B210" s="247"/>
      <c r="C210" s="49"/>
      <c r="E210" s="56"/>
      <c r="F210" s="99"/>
      <c r="G210" s="56"/>
      <c r="H210" s="99"/>
      <c r="I210" s="68"/>
      <c r="J210" s="81"/>
      <c r="K210" s="81"/>
      <c r="L210" s="81"/>
      <c r="M210" s="125"/>
      <c r="N210" s="84"/>
      <c r="O210" s="80"/>
      <c r="Q210" s="54">
        <f>0.1+1.077+1.584+3.175+1.55+3.15+1.525</f>
        <v>12.161</v>
      </c>
      <c r="R210" s="54">
        <v>4.0339999999999998</v>
      </c>
    </row>
    <row r="211" spans="1:18">
      <c r="A211" s="246">
        <f>B208/0.092</f>
        <v>0</v>
      </c>
      <c r="B211" s="128">
        <f>1.85*1.75</f>
        <v>3.2375000000000003</v>
      </c>
      <c r="C211" s="80"/>
      <c r="D211" s="56"/>
      <c r="E211" s="56"/>
      <c r="F211" s="56"/>
      <c r="G211" s="56"/>
      <c r="H211" s="68">
        <f>D211*C211*E211</f>
        <v>0</v>
      </c>
      <c r="I211" s="68">
        <f>C211*D211</f>
        <v>0</v>
      </c>
      <c r="J211" s="81"/>
      <c r="K211" s="81"/>
      <c r="L211" s="81"/>
      <c r="M211" s="125"/>
      <c r="N211" s="84"/>
      <c r="O211" s="80"/>
    </row>
    <row r="212" spans="1:18">
      <c r="A212" s="247"/>
      <c r="B212" s="128">
        <v>7.9880000000000004</v>
      </c>
      <c r="C212" s="80"/>
      <c r="D212" s="56"/>
      <c r="E212" s="56"/>
      <c r="F212" s="56"/>
      <c r="G212" s="56"/>
      <c r="H212" s="68">
        <f>D212*C212*E212</f>
        <v>0</v>
      </c>
      <c r="I212" s="68">
        <f>C212*D212</f>
        <v>0</v>
      </c>
      <c r="J212" s="81"/>
      <c r="K212" s="81"/>
      <c r="L212" s="81"/>
      <c r="M212" s="125"/>
      <c r="N212" s="84"/>
      <c r="O212" s="80"/>
    </row>
    <row r="213" spans="1:18">
      <c r="A213" s="50"/>
      <c r="B213" s="125"/>
      <c r="C213" s="80"/>
      <c r="D213" s="56"/>
      <c r="E213" s="56"/>
      <c r="F213" s="56"/>
      <c r="G213" s="56"/>
      <c r="H213" s="68"/>
      <c r="I213" s="68"/>
      <c r="J213" s="81"/>
      <c r="K213" s="81"/>
      <c r="L213" s="81"/>
      <c r="M213" s="125"/>
      <c r="N213" s="84"/>
      <c r="O213" s="80"/>
    </row>
    <row r="214" spans="1:18" ht="18.75" thickBot="1">
      <c r="A214" s="85" t="s">
        <v>195</v>
      </c>
      <c r="B214" s="129">
        <f>SUM(B209:B213)</f>
        <v>11.2255</v>
      </c>
      <c r="C214" s="80"/>
      <c r="D214" s="56"/>
      <c r="E214" s="56"/>
      <c r="F214" s="56"/>
      <c r="G214" s="56"/>
      <c r="H214" s="68">
        <f>D214*C214*E214</f>
        <v>0</v>
      </c>
      <c r="I214" s="68">
        <f>C214*D214</f>
        <v>0</v>
      </c>
      <c r="J214" s="81"/>
      <c r="K214" s="81"/>
      <c r="L214" s="81"/>
      <c r="M214" s="125"/>
      <c r="N214" s="84"/>
      <c r="O214" s="80"/>
    </row>
    <row r="215" spans="1:18">
      <c r="A215" s="49"/>
      <c r="C215" s="80"/>
      <c r="D215" s="56"/>
      <c r="E215" s="56"/>
      <c r="F215" s="56"/>
      <c r="G215" s="49"/>
      <c r="H215" s="79">
        <f>SUM(H208:H210)</f>
        <v>45.042292500000002</v>
      </c>
      <c r="I215" s="79">
        <f>SUM(I207:I209)</f>
        <v>325.27449999999999</v>
      </c>
      <c r="J215" s="79"/>
      <c r="K215" s="79"/>
      <c r="L215" s="79"/>
      <c r="M215" s="79"/>
      <c r="N215" s="86">
        <f>SUM(N207:N209)</f>
        <v>6.144435305</v>
      </c>
      <c r="O215" s="80"/>
    </row>
    <row r="216" spans="1:18">
      <c r="A216" s="48" t="s">
        <v>307</v>
      </c>
      <c r="B216" s="126">
        <f>1.5</f>
        <v>1.5</v>
      </c>
      <c r="C216" s="56">
        <v>0.15</v>
      </c>
      <c r="D216" s="65">
        <v>2.5499999999999998</v>
      </c>
      <c r="E216" s="62">
        <v>2</v>
      </c>
      <c r="F216" s="56"/>
      <c r="G216" s="56"/>
      <c r="H216" s="58">
        <f t="shared" ref="H216" si="127">E216*D216*C216*B216</f>
        <v>1.1475</v>
      </c>
      <c r="I216" s="58">
        <f>B216*D216*2</f>
        <v>7.6499999999999995</v>
      </c>
      <c r="J216" s="69"/>
      <c r="K216" s="57"/>
      <c r="L216" s="100"/>
      <c r="M216" s="66">
        <f>(B216*0)*0.00533</f>
        <v>0</v>
      </c>
      <c r="N216" s="66">
        <f>(B216*D216)*3.25*0.0038</f>
        <v>4.7238749999999996E-2</v>
      </c>
      <c r="O216" s="56"/>
    </row>
    <row r="217" spans="1:18">
      <c r="A217" s="87" t="s">
        <v>227</v>
      </c>
      <c r="C217" s="89">
        <f>3.25*6</f>
        <v>19.5</v>
      </c>
      <c r="D217" s="89">
        <v>1.2</v>
      </c>
      <c r="E217" s="89">
        <v>0.1</v>
      </c>
      <c r="F217" s="89"/>
      <c r="G217" s="89"/>
      <c r="H217" s="70">
        <f>E217*D217*C217</f>
        <v>2.34</v>
      </c>
      <c r="I217" s="70">
        <f>C217*D217*2</f>
        <v>46.8</v>
      </c>
      <c r="J217" s="70"/>
      <c r="K217" s="70"/>
      <c r="L217" s="70"/>
      <c r="M217" s="70"/>
      <c r="N217" s="90">
        <f>(C217*D217)*5*0.003778</f>
        <v>0.44202600000000003</v>
      </c>
      <c r="O217" s="80"/>
    </row>
    <row r="218" spans="1:18">
      <c r="A218" s="56" t="s">
        <v>285</v>
      </c>
      <c r="B218" s="126">
        <f>2.35+2.35+0.15+0.15+3.15+3.15+3.15+4.85-2.4</f>
        <v>16.900000000000002</v>
      </c>
      <c r="C218" s="56">
        <v>0.15</v>
      </c>
      <c r="D218" s="65">
        <v>1</v>
      </c>
      <c r="E218" s="62">
        <f>3.4-0.15</f>
        <v>3.25</v>
      </c>
      <c r="F218" s="56"/>
      <c r="G218" s="56"/>
      <c r="H218" s="48">
        <f>E218*D218*C218*B218</f>
        <v>8.2387500000000014</v>
      </c>
      <c r="I218" s="48">
        <f>B218*E218*2</f>
        <v>109.85000000000001</v>
      </c>
      <c r="J218" s="126"/>
      <c r="K218" s="154"/>
      <c r="L218" s="155"/>
      <c r="M218" s="124">
        <f>(B218*E218*3)*0.00533</f>
        <v>0.87825074999999997</v>
      </c>
      <c r="N218" s="124">
        <f>(B218*E218)*3.25*0.0038</f>
        <v>0.67832375000000011</v>
      </c>
      <c r="O218" s="56"/>
      <c r="Q218" s="65"/>
    </row>
    <row r="219" spans="1:18">
      <c r="A219" s="56"/>
      <c r="B219" s="126"/>
      <c r="C219" s="56"/>
      <c r="D219" s="65"/>
      <c r="E219" s="56"/>
      <c r="F219" s="56"/>
      <c r="G219" s="56"/>
      <c r="H219" s="166">
        <f>SUM(H218)</f>
        <v>8.2387500000000014</v>
      </c>
      <c r="I219" s="166">
        <f t="shared" ref="I219" si="128">SUM(I218)</f>
        <v>109.85000000000001</v>
      </c>
      <c r="J219" s="166">
        <f t="shared" ref="J219" si="129">SUM(J218)</f>
        <v>0</v>
      </c>
      <c r="K219" s="166">
        <f t="shared" ref="K219" si="130">SUM(K218)</f>
        <v>0</v>
      </c>
      <c r="L219" s="166">
        <f t="shared" ref="L219" si="131">SUM(L218)</f>
        <v>0</v>
      </c>
      <c r="M219" s="166">
        <f t="shared" ref="M219" si="132">SUM(M218)</f>
        <v>0.87825074999999997</v>
      </c>
      <c r="N219" s="166">
        <f t="shared" ref="N219" si="133">SUM(N218)</f>
        <v>0.67832375000000011</v>
      </c>
      <c r="O219" s="62"/>
    </row>
    <row r="220" spans="1:18" ht="18">
      <c r="A220" s="480" t="s">
        <v>312</v>
      </c>
      <c r="B220" s="481"/>
      <c r="C220" s="481"/>
      <c r="D220" s="481"/>
      <c r="E220" s="481"/>
      <c r="F220" s="481"/>
      <c r="G220" s="481"/>
      <c r="H220" s="481"/>
      <c r="I220" s="481"/>
      <c r="J220" s="481"/>
      <c r="K220" s="481"/>
      <c r="L220" s="481"/>
      <c r="M220" s="481"/>
      <c r="N220" s="481"/>
      <c r="O220" s="482"/>
    </row>
    <row r="221" spans="1:18">
      <c r="A221" s="56" t="s">
        <v>187</v>
      </c>
      <c r="B221" s="126">
        <v>12</v>
      </c>
      <c r="C221" s="56">
        <v>0.22500000000000001</v>
      </c>
      <c r="D221" s="56">
        <v>0.42499999999999999</v>
      </c>
      <c r="E221" s="62">
        <f>3-0.475</f>
        <v>2.5249999999999999</v>
      </c>
      <c r="F221" s="56"/>
      <c r="G221" s="56"/>
      <c r="H221" s="56">
        <f>E221*D221*C221*B221</f>
        <v>2.8974374999999997</v>
      </c>
      <c r="I221" s="56">
        <f>(C221+D221*2)*B221*E221</f>
        <v>32.572499999999998</v>
      </c>
      <c r="J221" s="64">
        <f>(B221*0*3.5)/6</f>
        <v>0</v>
      </c>
      <c r="K221" s="64">
        <f>(B221*0*3.5)/6</f>
        <v>0</v>
      </c>
      <c r="L221" s="64">
        <f>(B221*10*3.75)/6</f>
        <v>75</v>
      </c>
      <c r="M221" s="64">
        <f>(B221*0*4.5)/6</f>
        <v>0</v>
      </c>
      <c r="N221" s="73"/>
      <c r="O221" s="56">
        <f>(E221/0.15*4*B221)/6</f>
        <v>134.66666666666666</v>
      </c>
      <c r="P221" s="54">
        <f>(0.3+0.24)*3</f>
        <v>1.62</v>
      </c>
      <c r="Q221" s="54">
        <f>0.22+0.22+0.35+0.2+0.35+0.25</f>
        <v>1.5899999999999999</v>
      </c>
    </row>
    <row r="222" spans="1:18">
      <c r="A222" s="56"/>
      <c r="B222" s="126"/>
      <c r="C222" s="56"/>
      <c r="D222" s="65"/>
      <c r="E222" s="62"/>
      <c r="F222" s="56"/>
      <c r="G222" s="56"/>
      <c r="H222" s="56">
        <f t="shared" ref="H222:H224" si="134">E222*D222*C222*B222</f>
        <v>0</v>
      </c>
      <c r="I222" s="56">
        <f t="shared" ref="I222:I224" si="135">(C222+D222*2)*B222*E222</f>
        <v>0</v>
      </c>
      <c r="J222" s="66">
        <f>J221*0.0231</f>
        <v>0</v>
      </c>
      <c r="K222" s="75">
        <f>K221*0.0148</f>
        <v>0</v>
      </c>
      <c r="L222" s="61">
        <f>L221*0.009468</f>
        <v>0.71010000000000006</v>
      </c>
      <c r="M222" s="61">
        <f>M221*0.00533</f>
        <v>0</v>
      </c>
      <c r="N222" s="56"/>
      <c r="O222" s="62">
        <f>O221*0.001332</f>
        <v>0.17937600000000001</v>
      </c>
    </row>
    <row r="223" spans="1:18">
      <c r="A223" s="56" t="s">
        <v>188</v>
      </c>
      <c r="B223" s="126">
        <v>19</v>
      </c>
      <c r="C223" s="56">
        <v>0.2</v>
      </c>
      <c r="D223" s="65">
        <v>0.35</v>
      </c>
      <c r="E223" s="62">
        <f>3-0.475</f>
        <v>2.5249999999999999</v>
      </c>
      <c r="F223" s="56"/>
      <c r="G223" s="56"/>
      <c r="H223" s="56">
        <f t="shared" si="134"/>
        <v>3.35825</v>
      </c>
      <c r="I223" s="56">
        <f t="shared" si="135"/>
        <v>43.177499999999995</v>
      </c>
      <c r="J223" s="64"/>
      <c r="K223" s="64">
        <f>(B223*0*3.5)/6</f>
        <v>0</v>
      </c>
      <c r="L223" s="64">
        <f>(B223*8*3.5)/6</f>
        <v>88.666666666666671</v>
      </c>
      <c r="M223" s="126"/>
      <c r="N223" s="56"/>
      <c r="O223" s="56">
        <f>(E223/0.15*3.5*B223)/6</f>
        <v>186.56944444444443</v>
      </c>
      <c r="Q223" s="54">
        <f>0.37+0.37+0.37+0.1</f>
        <v>1.21</v>
      </c>
    </row>
    <row r="224" spans="1:18">
      <c r="B224" s="126"/>
      <c r="C224" s="56"/>
      <c r="D224" s="65"/>
      <c r="E224" s="62"/>
      <c r="F224" s="56"/>
      <c r="G224" s="56"/>
      <c r="H224" s="56">
        <f t="shared" si="134"/>
        <v>0</v>
      </c>
      <c r="I224" s="56">
        <f t="shared" si="135"/>
        <v>0</v>
      </c>
      <c r="J224" s="64"/>
      <c r="K224" s="75">
        <f>K223*0.0148</f>
        <v>0</v>
      </c>
      <c r="L224" s="61">
        <f>L223*0.009468</f>
        <v>0.83949600000000013</v>
      </c>
      <c r="M224" s="126"/>
      <c r="N224" s="56"/>
      <c r="O224" s="62">
        <f>O223*0.001332</f>
        <v>0.2485105</v>
      </c>
      <c r="Q224" s="54">
        <f>0.4+0.35</f>
        <v>0.75</v>
      </c>
    </row>
    <row r="225" spans="1:17">
      <c r="A225" s="56" t="s">
        <v>189</v>
      </c>
      <c r="B225" s="126"/>
      <c r="C225" s="56">
        <v>0.2</v>
      </c>
      <c r="D225" s="65">
        <v>0.3</v>
      </c>
      <c r="E225" s="62">
        <v>2.6</v>
      </c>
      <c r="F225" s="56"/>
      <c r="G225" s="56"/>
      <c r="H225" s="56">
        <f>E225*D225*C225*B225</f>
        <v>0</v>
      </c>
      <c r="I225" s="56">
        <f>(C225+D225*2)*B225*E225</f>
        <v>0</v>
      </c>
      <c r="J225" s="64">
        <f>(B225*0*4.75)/6</f>
        <v>0</v>
      </c>
      <c r="K225" s="64">
        <f>(B225*0*3.9)/6</f>
        <v>0</v>
      </c>
      <c r="L225" s="64">
        <f>(B225*6*3.75)/6</f>
        <v>0</v>
      </c>
      <c r="M225" s="126"/>
      <c r="N225" s="56"/>
      <c r="O225" s="56">
        <f>(E225/0.15*1*B225)/6</f>
        <v>0</v>
      </c>
      <c r="Q225" s="65"/>
    </row>
    <row r="226" spans="1:17">
      <c r="B226" s="126"/>
      <c r="C226" s="56"/>
      <c r="D226" s="65"/>
      <c r="E226" s="62"/>
      <c r="F226" s="56"/>
      <c r="G226" s="56"/>
      <c r="H226" s="56"/>
      <c r="I226" s="56"/>
      <c r="J226" s="158">
        <f>J225*0.0231</f>
        <v>0</v>
      </c>
      <c r="K226" s="161">
        <f>K225*0.0148</f>
        <v>0</v>
      </c>
      <c r="L226" s="157">
        <f>L225*0.009468</f>
        <v>0</v>
      </c>
      <c r="M226" s="162"/>
      <c r="N226" s="163"/>
      <c r="O226" s="62">
        <f>O225*0.001332</f>
        <v>0</v>
      </c>
    </row>
    <row r="227" spans="1:17">
      <c r="A227" s="48" t="s">
        <v>284</v>
      </c>
      <c r="B227" s="126"/>
      <c r="C227" s="56">
        <v>0.2</v>
      </c>
      <c r="D227" s="65">
        <v>0.25</v>
      </c>
      <c r="E227" s="62">
        <v>2.6</v>
      </c>
      <c r="F227" s="56"/>
      <c r="G227" s="56"/>
      <c r="H227" s="56">
        <f t="shared" ref="H227" si="136">E227*D227*C227*B227</f>
        <v>0</v>
      </c>
      <c r="I227" s="56">
        <f t="shared" ref="I227" si="137">(C227+D227*2)*B227*E227</f>
        <v>0</v>
      </c>
      <c r="J227" s="64"/>
      <c r="K227" s="64">
        <f>(B227*0*3.9)/6</f>
        <v>0</v>
      </c>
      <c r="L227" s="64">
        <f>(B227*4*3.75)/6</f>
        <v>0</v>
      </c>
      <c r="M227" s="126"/>
      <c r="N227" s="56"/>
      <c r="O227" s="56">
        <f>(E227/0.15*0.9*B227)/6</f>
        <v>0</v>
      </c>
    </row>
    <row r="228" spans="1:17">
      <c r="B228" s="126"/>
      <c r="C228" s="56"/>
      <c r="D228" s="65"/>
      <c r="E228" s="62"/>
      <c r="F228" s="56"/>
      <c r="G228" s="56"/>
      <c r="H228" s="56"/>
      <c r="I228" s="56"/>
      <c r="J228" s="158"/>
      <c r="K228" s="161">
        <f>K227*0.0148</f>
        <v>0</v>
      </c>
      <c r="L228" s="157">
        <f>L227*0.009468</f>
        <v>0</v>
      </c>
      <c r="M228" s="162"/>
      <c r="N228" s="163"/>
      <c r="O228" s="62">
        <f>O227*0.001332</f>
        <v>0</v>
      </c>
    </row>
    <row r="229" spans="1:17">
      <c r="A229" s="48" t="s">
        <v>304</v>
      </c>
      <c r="B229" s="126"/>
      <c r="C229" s="56"/>
      <c r="D229" s="65">
        <v>0.35</v>
      </c>
      <c r="E229" s="62">
        <v>3.4</v>
      </c>
      <c r="F229" s="56"/>
      <c r="G229" s="56"/>
      <c r="H229" s="56">
        <f t="shared" ref="H229" si="138">E229*D229*C229*B229</f>
        <v>0</v>
      </c>
      <c r="I229" s="56">
        <f t="shared" ref="I229" si="139">(C229+D229*2)*B229*E229</f>
        <v>0</v>
      </c>
      <c r="J229" s="64">
        <f>(B229*0*4.75)/6</f>
        <v>0</v>
      </c>
      <c r="K229" s="64">
        <f>(B229*8*4.6)/6</f>
        <v>0</v>
      </c>
      <c r="M229" s="126"/>
      <c r="N229" s="56"/>
      <c r="O229" s="56">
        <f>(E229/0.15*1.2*1.5*B229)/6</f>
        <v>0</v>
      </c>
    </row>
    <row r="230" spans="1:17">
      <c r="B230" s="126"/>
      <c r="C230" s="56"/>
      <c r="D230" s="65"/>
      <c r="E230" s="62"/>
      <c r="F230" s="56"/>
      <c r="G230" s="56"/>
      <c r="H230" s="56"/>
      <c r="I230" s="56"/>
      <c r="J230" s="158">
        <f>J229*0.0231</f>
        <v>0</v>
      </c>
      <c r="K230" s="161">
        <f>K229*0.0148</f>
        <v>0</v>
      </c>
      <c r="L230" s="165"/>
      <c r="M230" s="162"/>
      <c r="N230" s="163"/>
      <c r="O230" s="164">
        <f>O229*0.001332</f>
        <v>0</v>
      </c>
    </row>
    <row r="231" spans="1:17">
      <c r="A231" s="48" t="s">
        <v>305</v>
      </c>
      <c r="B231" s="126"/>
      <c r="C231" s="56"/>
      <c r="D231" s="65">
        <v>1</v>
      </c>
      <c r="E231" s="62">
        <v>3.4</v>
      </c>
      <c r="F231" s="56"/>
      <c r="G231" s="56"/>
      <c r="H231" s="56">
        <f t="shared" ref="H231" si="140">E231*D231*C231*B231</f>
        <v>0</v>
      </c>
      <c r="I231" s="56">
        <f t="shared" ref="I231" si="141">(C231+D231*2)*B231*E231</f>
        <v>0</v>
      </c>
      <c r="J231" s="64">
        <f>(B231*6*4.75)/6</f>
        <v>0</v>
      </c>
      <c r="K231" s="64">
        <f>(B231*0*6)/6</f>
        <v>0</v>
      </c>
      <c r="M231" s="126"/>
      <c r="N231" s="56"/>
      <c r="O231" s="56">
        <f>(E231/0.15*1*B231)/6</f>
        <v>0</v>
      </c>
    </row>
    <row r="232" spans="1:17">
      <c r="B232" s="126"/>
      <c r="C232" s="56"/>
      <c r="D232" s="65"/>
      <c r="E232" s="62"/>
      <c r="F232" s="56"/>
      <c r="G232" s="56"/>
      <c r="H232" s="185">
        <f>SUM(H221:H231)</f>
        <v>6.2556874999999996</v>
      </c>
      <c r="I232" s="185">
        <f t="shared" ref="I232:J232" si="142">SUM(I221:I231)</f>
        <v>75.75</v>
      </c>
      <c r="J232" s="56">
        <f t="shared" si="142"/>
        <v>0</v>
      </c>
      <c r="K232" s="185">
        <f>K228+K226+K224+K222</f>
        <v>0</v>
      </c>
      <c r="L232" s="185">
        <f>L228+L226+L224+L222</f>
        <v>1.5495960000000002</v>
      </c>
      <c r="M232" s="185">
        <f>M228+M226+M224+M222</f>
        <v>0</v>
      </c>
      <c r="N232" s="185">
        <f t="shared" ref="N232" si="143">N228+N226+N224+N222</f>
        <v>0</v>
      </c>
      <c r="O232" s="185">
        <f>O228+O226+O224+O222</f>
        <v>0.4278865</v>
      </c>
    </row>
    <row r="233" spans="1:17">
      <c r="B233" s="126"/>
      <c r="C233" s="56"/>
      <c r="D233" s="65"/>
      <c r="E233" s="62"/>
      <c r="F233" s="56"/>
      <c r="G233" s="56"/>
      <c r="H233" s="56"/>
      <c r="I233" s="56"/>
      <c r="J233" s="66"/>
      <c r="K233" s="75"/>
      <c r="L233" s="61"/>
      <c r="M233" s="126"/>
      <c r="N233" s="56"/>
      <c r="O233" s="62"/>
    </row>
    <row r="234" spans="1:17">
      <c r="B234" s="126"/>
      <c r="C234" s="56"/>
      <c r="D234" s="65"/>
      <c r="E234" s="62"/>
      <c r="F234" s="56"/>
      <c r="G234" s="56"/>
      <c r="H234" s="56"/>
      <c r="I234" s="56"/>
      <c r="J234" s="66"/>
      <c r="K234" s="75"/>
      <c r="L234" s="61"/>
      <c r="M234" s="126"/>
      <c r="N234" s="56"/>
      <c r="O234" s="62"/>
    </row>
    <row r="235" spans="1:17">
      <c r="A235" s="78" t="s">
        <v>248</v>
      </c>
      <c r="B235" s="126">
        <v>17</v>
      </c>
      <c r="C235" s="56">
        <v>0.25</v>
      </c>
      <c r="D235" s="65">
        <v>0.17599999999999999</v>
      </c>
      <c r="E235" s="56">
        <v>0.85</v>
      </c>
      <c r="F235" s="56">
        <v>0.5</v>
      </c>
      <c r="G235" s="56"/>
      <c r="H235" s="56">
        <f>E235*D235*C235*B235*F235</f>
        <v>0.31789999999999996</v>
      </c>
      <c r="I235" s="56">
        <f>E235*D235*B235</f>
        <v>2.5431999999999997</v>
      </c>
      <c r="J235" s="64"/>
      <c r="K235" s="64"/>
      <c r="L235" s="56"/>
      <c r="M235" s="48"/>
      <c r="N235" s="64">
        <f>B237*B236*6</f>
        <v>47.25</v>
      </c>
      <c r="O235" s="56"/>
    </row>
    <row r="236" spans="1:17">
      <c r="A236" s="56"/>
      <c r="B236" s="48">
        <v>5.25</v>
      </c>
      <c r="C236" s="56">
        <v>0.85</v>
      </c>
      <c r="D236" s="56">
        <v>0.15</v>
      </c>
      <c r="E236" s="56">
        <v>1</v>
      </c>
      <c r="F236" s="56">
        <v>1</v>
      </c>
      <c r="G236" s="56"/>
      <c r="H236" s="56">
        <f>E236*D236*C236*B236*F236</f>
        <v>0.66937500000000005</v>
      </c>
      <c r="I236" s="56">
        <f>((B236*C236*E236)+(11.4*0.15))</f>
        <v>6.1724999999999994</v>
      </c>
      <c r="J236" s="56"/>
      <c r="K236" s="56"/>
      <c r="L236" s="56">
        <f>(6+7)/2</f>
        <v>6.5</v>
      </c>
      <c r="M236" s="126"/>
      <c r="N236" s="64">
        <f>N235*3.778</f>
        <v>178.51050000000001</v>
      </c>
      <c r="O236" s="56"/>
    </row>
    <row r="237" spans="1:17">
      <c r="A237" s="56"/>
      <c r="B237" s="48">
        <v>1.5</v>
      </c>
      <c r="C237" s="56">
        <v>0.15</v>
      </c>
      <c r="D237" s="56">
        <v>0.9</v>
      </c>
      <c r="E237" s="56">
        <v>1</v>
      </c>
      <c r="F237" s="56">
        <v>1</v>
      </c>
      <c r="G237" s="56"/>
      <c r="H237" s="56">
        <f>E237*D237*C237*B237*F237</f>
        <v>0.20250000000000001</v>
      </c>
      <c r="I237" s="56">
        <f>D237*B237</f>
        <v>1.35</v>
      </c>
      <c r="J237" s="56"/>
      <c r="K237" s="56"/>
      <c r="L237" s="56"/>
      <c r="M237" s="124"/>
      <c r="N237" s="66">
        <f>(N236*0.001)</f>
        <v>0.17851050000000002</v>
      </c>
      <c r="O237" s="56"/>
      <c r="Q237" s="67">
        <f>3.778*0.001</f>
        <v>3.7780000000000001E-3</v>
      </c>
    </row>
    <row r="238" spans="1:17">
      <c r="A238" s="56"/>
      <c r="B238" s="48"/>
      <c r="C238" s="56"/>
      <c r="D238" s="56"/>
      <c r="E238" s="56"/>
      <c r="F238" s="56"/>
      <c r="G238" s="49"/>
      <c r="H238" s="79">
        <f>SUM(H235:H237)</f>
        <v>1.189775</v>
      </c>
      <c r="I238" s="79">
        <f>SUM(I235:I237)</f>
        <v>10.065699999999998</v>
      </c>
      <c r="J238" s="56"/>
      <c r="K238" s="80"/>
      <c r="L238" s="80"/>
      <c r="M238" s="48"/>
      <c r="N238" s="56"/>
      <c r="O238" s="56"/>
      <c r="Q238" s="67">
        <v>3.7780000000000001E-3</v>
      </c>
    </row>
    <row r="239" spans="1:17">
      <c r="A239" s="56" t="s">
        <v>285</v>
      </c>
      <c r="B239" s="126">
        <f>2.35+2.35+0.15+0.15+3.15+3.15+3.15+4.85-2.4</f>
        <v>16.900000000000002</v>
      </c>
      <c r="C239" s="56">
        <v>0.15</v>
      </c>
      <c r="D239" s="65">
        <v>1</v>
      </c>
      <c r="E239" s="62">
        <f>3.4-0.15</f>
        <v>3.25</v>
      </c>
      <c r="F239" s="56"/>
      <c r="G239" s="56"/>
      <c r="H239" s="48">
        <f>E239*D239*C239*B239</f>
        <v>8.2387500000000014</v>
      </c>
      <c r="I239" s="48">
        <f>B239*E239*2</f>
        <v>109.85000000000001</v>
      </c>
      <c r="J239" s="126"/>
      <c r="K239" s="154"/>
      <c r="L239" s="155"/>
      <c r="M239" s="124">
        <f>(B239*E239*3)*0.00533</f>
        <v>0.87825074999999997</v>
      </c>
      <c r="N239" s="124">
        <f>(B239*E239)*3.25*0.0038</f>
        <v>0.67832375000000011</v>
      </c>
      <c r="O239" s="56"/>
      <c r="Q239" s="65"/>
    </row>
    <row r="240" spans="1:17">
      <c r="A240" s="56"/>
      <c r="B240" s="126"/>
      <c r="C240" s="56"/>
      <c r="D240" s="65"/>
      <c r="E240" s="56"/>
      <c r="F240" s="56"/>
      <c r="G240" s="56"/>
      <c r="H240" s="166">
        <f>SUM(H239)</f>
        <v>8.2387500000000014</v>
      </c>
      <c r="I240" s="166">
        <f t="shared" ref="I240" si="144">SUM(I239)</f>
        <v>109.85000000000001</v>
      </c>
      <c r="J240" s="166">
        <f t="shared" ref="J240" si="145">SUM(J239)</f>
        <v>0</v>
      </c>
      <c r="K240" s="166">
        <f t="shared" ref="K240" si="146">SUM(K239)</f>
        <v>0</v>
      </c>
      <c r="L240" s="166">
        <f t="shared" ref="L240" si="147">SUM(L239)</f>
        <v>0</v>
      </c>
      <c r="M240" s="166">
        <f t="shared" ref="M240" si="148">SUM(M239)</f>
        <v>0.87825074999999997</v>
      </c>
      <c r="N240" s="166">
        <f t="shared" ref="N240" si="149">SUM(N239)</f>
        <v>0.67832375000000011</v>
      </c>
      <c r="O240" s="62"/>
    </row>
    <row r="241" spans="1:16">
      <c r="A241" s="49"/>
      <c r="B241" s="125">
        <f>(1.025+3.235+0.36)</f>
        <v>4.62</v>
      </c>
      <c r="C241" s="50"/>
      <c r="D241" s="50"/>
      <c r="E241" s="50"/>
      <c r="F241" s="56"/>
      <c r="G241" s="49"/>
      <c r="H241" s="51" t="s">
        <v>184</v>
      </c>
      <c r="I241" s="52" t="s">
        <v>185</v>
      </c>
      <c r="J241" s="53">
        <v>25</v>
      </c>
      <c r="K241" s="53">
        <v>20</v>
      </c>
      <c r="L241" s="53">
        <v>16</v>
      </c>
      <c r="M241" s="53">
        <v>12</v>
      </c>
      <c r="N241" s="53">
        <v>10</v>
      </c>
      <c r="O241" s="79">
        <v>6</v>
      </c>
      <c r="P241" s="50"/>
    </row>
    <row r="242" spans="1:16">
      <c r="A242" s="488" t="s">
        <v>250</v>
      </c>
      <c r="B242" s="489"/>
      <c r="C242" s="489"/>
      <c r="D242" s="489"/>
      <c r="E242" s="489"/>
      <c r="F242" s="489"/>
      <c r="G242" s="489"/>
      <c r="H242" s="489"/>
      <c r="I242" s="489"/>
      <c r="J242" s="489"/>
      <c r="K242" s="489"/>
      <c r="L242" s="489"/>
      <c r="M242" s="489"/>
      <c r="N242" s="489"/>
      <c r="O242" s="490"/>
    </row>
    <row r="243" spans="1:16">
      <c r="A243" s="56" t="s">
        <v>190</v>
      </c>
      <c r="B243" s="126">
        <f>(6.079*3)+1.851+2.443</f>
        <v>22.530999999999999</v>
      </c>
      <c r="C243" s="56">
        <v>0.2</v>
      </c>
      <c r="D243" s="56">
        <f>0.475-0.135</f>
        <v>0.33999999999999997</v>
      </c>
      <c r="E243" s="56"/>
      <c r="F243" s="56">
        <f>0.4+C243+D243</f>
        <v>0.94000000000000006</v>
      </c>
      <c r="G243" s="56"/>
      <c r="H243" s="56">
        <f>D243*C243*B243</f>
        <v>1.5321079999999998</v>
      </c>
      <c r="I243" s="56">
        <f>B243*F243</f>
        <v>21.17914</v>
      </c>
      <c r="J243" s="63">
        <f>(B243*0/6)*0.0231</f>
        <v>0</v>
      </c>
      <c r="K243" s="63">
        <f>(B243*9/6)*0.0148</f>
        <v>0.50018820000000008</v>
      </c>
      <c r="L243" s="63">
        <f>(B243*9/6)*0.009468</f>
        <v>0.31998526200000005</v>
      </c>
      <c r="M243" s="124">
        <f t="shared" ref="M243:M245" si="150">(B243*0)/6*0.00533</f>
        <v>0</v>
      </c>
      <c r="N243" s="63"/>
      <c r="O243" s="62">
        <f>((B243/0.11*2*3)/6)*0.001332</f>
        <v>0.27282992727272731</v>
      </c>
      <c r="P243" s="54">
        <f>0.35+0.35+0.24+0.1</f>
        <v>1.04</v>
      </c>
    </row>
    <row r="244" spans="1:16">
      <c r="A244" s="48" t="s">
        <v>446</v>
      </c>
      <c r="B244" s="126">
        <f>(6.079*1)+2.65</f>
        <v>8.7289999999999992</v>
      </c>
      <c r="C244" s="56">
        <v>0.2</v>
      </c>
      <c r="D244" s="56">
        <f t="shared" ref="D244" si="151">0.475-0.135</f>
        <v>0.33999999999999997</v>
      </c>
      <c r="E244" s="56"/>
      <c r="F244" s="56">
        <f>0.4+C244+D244</f>
        <v>0.94000000000000006</v>
      </c>
      <c r="G244" s="56"/>
      <c r="H244" s="56">
        <f>D244*C244*B244</f>
        <v>0.59357199999999988</v>
      </c>
      <c r="I244" s="56">
        <f>B244*F244</f>
        <v>8.2052599999999991</v>
      </c>
      <c r="J244" s="63">
        <f>(B244*0/6)*0.0231</f>
        <v>0</v>
      </c>
      <c r="K244" s="63">
        <f>(B244*15/6)*0.0148</f>
        <v>0.32297300000000001</v>
      </c>
      <c r="L244" s="63">
        <f>(B244*12/6)*0.009468</f>
        <v>0.16529234400000001</v>
      </c>
      <c r="M244" s="124">
        <f t="shared" si="150"/>
        <v>0</v>
      </c>
      <c r="N244" s="63"/>
      <c r="O244" s="62">
        <f>((B244/0.15*2*2)/6)*0.001332</f>
        <v>5.1675679999999995E-2</v>
      </c>
      <c r="P244" s="54">
        <f>0.35+0.35+0.24+0.1</f>
        <v>1.04</v>
      </c>
    </row>
    <row r="245" spans="1:16">
      <c r="A245" s="56" t="s">
        <v>191</v>
      </c>
      <c r="B245" s="125">
        <f>(4.88*8)+3.15+2.443+2.5</f>
        <v>47.132999999999996</v>
      </c>
      <c r="C245" s="56">
        <v>0.2</v>
      </c>
      <c r="D245" s="56">
        <f>0.4-0.135</f>
        <v>0.26500000000000001</v>
      </c>
      <c r="E245" s="56"/>
      <c r="F245" s="56">
        <f t="shared" ref="F245:F247" si="152">0.4+C245+D245</f>
        <v>0.8650000000000001</v>
      </c>
      <c r="G245" s="56"/>
      <c r="H245" s="56">
        <f t="shared" ref="H245:H250" si="153">D245*C245*B245</f>
        <v>2.498049</v>
      </c>
      <c r="I245" s="56">
        <f t="shared" ref="I245:I250" si="154">B245*F245</f>
        <v>40.770045000000003</v>
      </c>
      <c r="J245" s="63">
        <f t="shared" ref="J245:J248" si="155">(B245*0/6)*0.0231</f>
        <v>0</v>
      </c>
      <c r="K245" s="63">
        <f t="shared" ref="K245:K248" si="156">(B245*0/6)*0.0148</f>
        <v>0</v>
      </c>
      <c r="L245" s="63">
        <f>(B245*15/6)*0.009468</f>
        <v>1.1156381099999999</v>
      </c>
      <c r="M245" s="124">
        <f t="shared" si="150"/>
        <v>0</v>
      </c>
      <c r="N245" s="63"/>
      <c r="O245" s="62">
        <f>((B245/0.11*2*2.5)/6)*0.001332</f>
        <v>0.47561481818181811</v>
      </c>
    </row>
    <row r="246" spans="1:16">
      <c r="A246" s="56" t="s">
        <v>306</v>
      </c>
      <c r="B246" s="48">
        <f>(3.15*6)+(1.676*6)</f>
        <v>28.955999999999996</v>
      </c>
      <c r="C246" s="56">
        <v>0.2</v>
      </c>
      <c r="D246" s="56">
        <f t="shared" ref="D246:D247" si="157">0.4-0.135</f>
        <v>0.26500000000000001</v>
      </c>
      <c r="E246" s="56"/>
      <c r="F246" s="56">
        <f t="shared" si="152"/>
        <v>0.8650000000000001</v>
      </c>
      <c r="G246" s="56"/>
      <c r="H246" s="56">
        <f t="shared" si="153"/>
        <v>1.5346679999999999</v>
      </c>
      <c r="I246" s="56">
        <f t="shared" si="154"/>
        <v>25.046939999999999</v>
      </c>
      <c r="J246" s="63">
        <f t="shared" si="155"/>
        <v>0</v>
      </c>
      <c r="K246" s="63">
        <f t="shared" si="156"/>
        <v>0</v>
      </c>
      <c r="L246" s="63">
        <f>(B246*6/6)*0.009468</f>
        <v>0.27415540799999999</v>
      </c>
      <c r="M246" s="124">
        <f>(B246*0)/6*0.00533</f>
        <v>0</v>
      </c>
      <c r="N246" s="63"/>
      <c r="O246" s="62">
        <f>((B246/0.15*2*2.5)/6)*0.001332</f>
        <v>0.21427439999999998</v>
      </c>
    </row>
    <row r="247" spans="1:16">
      <c r="A247" s="56" t="s">
        <v>192</v>
      </c>
      <c r="B247" s="48">
        <f>3.15+6.944+6+(25.7*3)+3.5+6.55</f>
        <v>103.24399999999999</v>
      </c>
      <c r="C247" s="56">
        <v>0.2</v>
      </c>
      <c r="D247" s="56">
        <f t="shared" si="157"/>
        <v>0.26500000000000001</v>
      </c>
      <c r="E247" s="56"/>
      <c r="F247" s="56">
        <f t="shared" si="152"/>
        <v>0.8650000000000001</v>
      </c>
      <c r="G247" s="56"/>
      <c r="H247" s="56">
        <f t="shared" si="153"/>
        <v>5.4719319999999998</v>
      </c>
      <c r="I247" s="56">
        <f t="shared" si="154"/>
        <v>89.306060000000002</v>
      </c>
      <c r="J247" s="63">
        <f t="shared" si="155"/>
        <v>0</v>
      </c>
      <c r="K247" s="63">
        <f t="shared" si="156"/>
        <v>0</v>
      </c>
      <c r="L247" s="63">
        <f>(B247*9/6)*0.009468</f>
        <v>1.466271288</v>
      </c>
      <c r="M247" s="124">
        <f t="shared" ref="M247:M251" si="158">(B247*0)/6*0.00533</f>
        <v>0</v>
      </c>
      <c r="N247" s="63"/>
      <c r="O247" s="62">
        <f>((B247/0.15*1*2.5)/6)*0.001332</f>
        <v>0.38200279999999992</v>
      </c>
    </row>
    <row r="248" spans="1:16">
      <c r="A248" s="56"/>
      <c r="B248" s="48"/>
      <c r="C248" s="56"/>
      <c r="D248" s="56"/>
      <c r="E248" s="56"/>
      <c r="F248" s="56"/>
      <c r="G248" s="56"/>
      <c r="H248" s="56">
        <f t="shared" si="153"/>
        <v>0</v>
      </c>
      <c r="I248" s="56">
        <f t="shared" si="154"/>
        <v>0</v>
      </c>
      <c r="J248" s="63">
        <f t="shared" si="155"/>
        <v>0</v>
      </c>
      <c r="K248" s="63">
        <f t="shared" si="156"/>
        <v>0</v>
      </c>
      <c r="L248" s="63">
        <f>(B248*12/6)*0.009468</f>
        <v>0</v>
      </c>
      <c r="M248" s="124">
        <f t="shared" si="158"/>
        <v>0</v>
      </c>
      <c r="N248" s="63"/>
      <c r="O248" s="62">
        <f>((B248/0.15*2*1.5)/6)*0.001332</f>
        <v>0</v>
      </c>
    </row>
    <row r="249" spans="1:16">
      <c r="A249" s="56"/>
      <c r="B249" s="48"/>
      <c r="C249" s="56"/>
      <c r="D249" s="56"/>
      <c r="E249" s="56"/>
      <c r="F249" s="56"/>
      <c r="G249" s="56"/>
      <c r="H249" s="56">
        <f t="shared" si="153"/>
        <v>0</v>
      </c>
      <c r="I249" s="56">
        <f t="shared" si="154"/>
        <v>0</v>
      </c>
      <c r="J249" s="63"/>
      <c r="K249" s="63"/>
      <c r="L249" s="63">
        <f>(B249*0/6)*0.009468</f>
        <v>0</v>
      </c>
      <c r="M249" s="124">
        <f t="shared" si="158"/>
        <v>0</v>
      </c>
      <c r="N249" s="63"/>
      <c r="O249" s="62">
        <f t="shared" ref="O249:O251" si="159">((B249/0.15*1*1.5)/6)*0.001332</f>
        <v>0</v>
      </c>
    </row>
    <row r="250" spans="1:16">
      <c r="A250" s="56"/>
      <c r="B250" s="48"/>
      <c r="C250" s="56"/>
      <c r="D250" s="56"/>
      <c r="E250" s="56"/>
      <c r="F250" s="56"/>
      <c r="G250" s="56"/>
      <c r="H250" s="56">
        <f t="shared" si="153"/>
        <v>0</v>
      </c>
      <c r="I250" s="56">
        <f t="shared" si="154"/>
        <v>0</v>
      </c>
      <c r="J250" s="63"/>
      <c r="K250" s="63"/>
      <c r="L250" s="63"/>
      <c r="M250" s="124">
        <f t="shared" si="158"/>
        <v>0</v>
      </c>
      <c r="N250" s="63"/>
      <c r="O250" s="62">
        <f t="shared" si="159"/>
        <v>0</v>
      </c>
    </row>
    <row r="251" spans="1:16">
      <c r="A251" s="56"/>
      <c r="B251" s="48"/>
      <c r="C251" s="56"/>
      <c r="D251" s="56"/>
      <c r="E251" s="56"/>
      <c r="F251" s="56"/>
      <c r="G251" s="56"/>
      <c r="H251" s="56"/>
      <c r="I251" s="56"/>
      <c r="J251" s="63"/>
      <c r="K251" s="63"/>
      <c r="L251" s="63"/>
      <c r="M251" s="124">
        <f t="shared" si="158"/>
        <v>0</v>
      </c>
      <c r="N251" s="63"/>
      <c r="O251" s="62">
        <f t="shared" si="159"/>
        <v>0</v>
      </c>
    </row>
    <row r="252" spans="1:16">
      <c r="A252" s="48" t="s">
        <v>224</v>
      </c>
      <c r="B252" s="48">
        <v>0</v>
      </c>
      <c r="C252" s="56">
        <v>0.2</v>
      </c>
      <c r="D252" s="56">
        <f t="shared" ref="D252" si="160">0.4-0.13</f>
        <v>0.27</v>
      </c>
      <c r="E252" s="56"/>
      <c r="F252" s="56">
        <f t="shared" ref="F252" si="161">0.4+C252+D252</f>
        <v>0.87000000000000011</v>
      </c>
      <c r="G252" s="56"/>
      <c r="H252" s="56">
        <f t="shared" ref="H252" si="162">D252*C252*B252</f>
        <v>0</v>
      </c>
      <c r="I252" s="56">
        <f t="shared" ref="I252" si="163">B252*F252</f>
        <v>0</v>
      </c>
      <c r="J252" s="63">
        <f t="shared" ref="J252" si="164">(B252*0/6)*0.0231</f>
        <v>0</v>
      </c>
      <c r="K252" s="63">
        <f>(B252*7.5/6)*0.0148</f>
        <v>0</v>
      </c>
      <c r="L252" s="63">
        <f>(B252*0/6)*0.009468</f>
        <v>0</v>
      </c>
      <c r="M252" s="124">
        <f t="shared" ref="M252" si="165">(B252*0)/6*0.00533</f>
        <v>0</v>
      </c>
      <c r="N252" s="63">
        <f>(0*2.5/6)*0.003778</f>
        <v>0</v>
      </c>
      <c r="O252" s="62">
        <f>((B252/0.075*2*1.5)/6)*0.001332</f>
        <v>0</v>
      </c>
    </row>
    <row r="253" spans="1:16" s="165" customFormat="1">
      <c r="A253" s="163"/>
      <c r="B253" s="171"/>
      <c r="C253" s="163"/>
      <c r="D253" s="163"/>
      <c r="E253" s="163"/>
      <c r="F253" s="163"/>
      <c r="G253" s="163"/>
      <c r="H253" s="163"/>
      <c r="I253" s="163"/>
      <c r="J253" s="170"/>
      <c r="K253" s="170"/>
      <c r="L253" s="170"/>
      <c r="M253" s="160"/>
      <c r="N253" s="170"/>
      <c r="O253" s="164"/>
    </row>
    <row r="254" spans="1:16" s="165" customFormat="1">
      <c r="A254" s="171"/>
      <c r="B254" s="171"/>
      <c r="C254" s="163"/>
      <c r="D254" s="163"/>
      <c r="E254" s="163"/>
      <c r="F254" s="163"/>
      <c r="G254" s="163"/>
      <c r="H254" s="163"/>
      <c r="I254" s="163"/>
      <c r="J254" s="163"/>
      <c r="K254" s="170"/>
      <c r="L254" s="170"/>
      <c r="M254" s="160"/>
      <c r="N254" s="170"/>
      <c r="O254" s="164"/>
    </row>
    <row r="255" spans="1:16" s="165" customFormat="1">
      <c r="A255" s="171"/>
      <c r="B255" s="171"/>
      <c r="C255" s="163"/>
      <c r="D255" s="163"/>
      <c r="E255" s="163"/>
      <c r="F255" s="163"/>
      <c r="G255" s="163"/>
      <c r="H255" s="163"/>
      <c r="I255" s="163"/>
      <c r="J255" s="170"/>
      <c r="K255" s="170"/>
      <c r="L255" s="170"/>
      <c r="M255" s="160"/>
      <c r="N255" s="170">
        <f>1/0.075</f>
        <v>13.333333333333334</v>
      </c>
      <c r="O255" s="164"/>
    </row>
    <row r="256" spans="1:16">
      <c r="A256" s="48"/>
      <c r="B256" s="48">
        <f>SUM(B243:B255)</f>
        <v>210.59299999999996</v>
      </c>
      <c r="C256" s="163">
        <v>0.2</v>
      </c>
      <c r="D256" s="56"/>
      <c r="E256" s="56">
        <f>B256*C256</f>
        <v>42.118599999999994</v>
      </c>
      <c r="F256" s="56"/>
      <c r="G256" s="56"/>
      <c r="H256" s="56"/>
      <c r="I256" s="56"/>
      <c r="J256" s="56"/>
      <c r="K256" s="63"/>
      <c r="L256" s="63"/>
      <c r="M256" s="124"/>
      <c r="N256" s="63">
        <f>N255*2</f>
        <v>26.666666666666668</v>
      </c>
      <c r="O256" s="62"/>
    </row>
    <row r="257" spans="1:18">
      <c r="A257" s="56"/>
      <c r="B257" s="48"/>
      <c r="C257" s="80"/>
      <c r="D257" s="56"/>
      <c r="E257" s="62"/>
      <c r="F257" s="56"/>
      <c r="G257" s="56"/>
      <c r="H257" s="56"/>
      <c r="I257" s="56">
        <f t="shared" ref="I257" si="166">B257*F257</f>
        <v>0</v>
      </c>
      <c r="J257" s="56"/>
      <c r="K257" s="56"/>
      <c r="L257" s="64">
        <f>L247</f>
        <v>1.466271288</v>
      </c>
      <c r="M257" s="126"/>
      <c r="N257" s="64">
        <f>N256/6</f>
        <v>4.4444444444444446</v>
      </c>
      <c r="O257" s="56">
        <f>N257*2</f>
        <v>8.8888888888888893</v>
      </c>
    </row>
    <row r="258" spans="1:18">
      <c r="A258" s="49" t="s">
        <v>193</v>
      </c>
      <c r="C258" s="80"/>
      <c r="D258" s="56"/>
      <c r="E258" s="56"/>
      <c r="F258" s="56"/>
      <c r="G258" s="56"/>
      <c r="H258" s="68"/>
      <c r="I258" s="68"/>
      <c r="J258" s="68"/>
      <c r="K258" s="81"/>
      <c r="L258" s="74">
        <f>L257*0.009468</f>
        <v>1.3882656554784E-2</v>
      </c>
      <c r="M258" s="48"/>
      <c r="N258" s="82"/>
      <c r="O258" s="56"/>
    </row>
    <row r="259" spans="1:18">
      <c r="A259" s="49"/>
      <c r="B259" s="127"/>
      <c r="C259" s="80">
        <f>336.5-C260-B265</f>
        <v>249.9255</v>
      </c>
      <c r="D259" s="56">
        <v>0.13500000000000001</v>
      </c>
      <c r="E259" s="56">
        <f>D259*C259</f>
        <v>33.739942500000005</v>
      </c>
      <c r="F259" s="56"/>
      <c r="G259" s="56"/>
      <c r="H259" s="68">
        <f>E259</f>
        <v>33.739942500000005</v>
      </c>
      <c r="I259" s="68">
        <f>C259</f>
        <v>249.9255</v>
      </c>
      <c r="J259" s="68" t="s">
        <v>226</v>
      </c>
      <c r="K259" s="68"/>
      <c r="L259" s="68"/>
      <c r="M259" s="48"/>
      <c r="N259" s="83">
        <f>(J260*5)*0.003778</f>
        <v>6.144435305</v>
      </c>
      <c r="O259" s="56"/>
    </row>
    <row r="260" spans="1:18">
      <c r="B260" s="128"/>
      <c r="C260" s="49">
        <f>75.349</f>
        <v>75.349000000000004</v>
      </c>
      <c r="D260" s="54">
        <v>0.15</v>
      </c>
      <c r="E260" s="56">
        <f>D260*C260</f>
        <v>11.302350000000001</v>
      </c>
      <c r="F260" s="99"/>
      <c r="G260" s="56"/>
      <c r="H260" s="68">
        <f>E260</f>
        <v>11.302350000000001</v>
      </c>
      <c r="I260" s="68">
        <f>C260</f>
        <v>75.349000000000004</v>
      </c>
      <c r="J260" s="68">
        <f>C259+C260</f>
        <v>325.27449999999999</v>
      </c>
      <c r="K260" s="81"/>
      <c r="L260" s="81"/>
      <c r="M260" s="48"/>
      <c r="N260" s="83"/>
      <c r="O260" s="56"/>
      <c r="Q260" s="54">
        <f>2.163+1.077+1.584+3.175+1.55+3.15+1.525</f>
        <v>14.224</v>
      </c>
      <c r="R260" s="54">
        <v>4.0350000000000001</v>
      </c>
    </row>
    <row r="261" spans="1:18">
      <c r="A261" s="49"/>
      <c r="B261" s="247"/>
      <c r="C261" s="49"/>
      <c r="E261" s="56"/>
      <c r="F261" s="99"/>
      <c r="G261" s="56"/>
      <c r="H261" s="99"/>
      <c r="I261" s="68"/>
      <c r="J261" s="81"/>
      <c r="K261" s="81"/>
      <c r="L261" s="81"/>
      <c r="M261" s="125"/>
      <c r="N261" s="84"/>
      <c r="O261" s="80"/>
      <c r="Q261" s="54">
        <f>0.1+1.077+1.584+3.175+1.55+3.15+1.525</f>
        <v>12.161</v>
      </c>
      <c r="R261" s="54">
        <v>4.0339999999999998</v>
      </c>
    </row>
    <row r="262" spans="1:18">
      <c r="A262" s="246">
        <f>B259/0.092</f>
        <v>0</v>
      </c>
      <c r="B262" s="128">
        <f>1.85*1.75</f>
        <v>3.2375000000000003</v>
      </c>
      <c r="C262" s="80"/>
      <c r="D262" s="56"/>
      <c r="E262" s="56"/>
      <c r="F262" s="56"/>
      <c r="G262" s="56"/>
      <c r="H262" s="68">
        <f>D262*C262*E262</f>
        <v>0</v>
      </c>
      <c r="I262" s="68">
        <f>C262*D262</f>
        <v>0</v>
      </c>
      <c r="J262" s="81"/>
      <c r="K262" s="81"/>
      <c r="L262" s="81"/>
      <c r="M262" s="125"/>
      <c r="N262" s="84"/>
      <c r="O262" s="80"/>
    </row>
    <row r="263" spans="1:18">
      <c r="A263" s="247"/>
      <c r="B263" s="128">
        <v>7.9880000000000004</v>
      </c>
      <c r="C263" s="80"/>
      <c r="D263" s="56"/>
      <c r="E263" s="56"/>
      <c r="F263" s="56"/>
      <c r="G263" s="56"/>
      <c r="H263" s="68">
        <f>D263*C263*E263</f>
        <v>0</v>
      </c>
      <c r="I263" s="68">
        <f>C263*D263</f>
        <v>0</v>
      </c>
      <c r="J263" s="81"/>
      <c r="K263" s="81"/>
      <c r="L263" s="81"/>
      <c r="M263" s="125"/>
      <c r="N263" s="84"/>
      <c r="O263" s="80"/>
    </row>
    <row r="264" spans="1:18">
      <c r="A264" s="50"/>
      <c r="B264" s="125"/>
      <c r="C264" s="80"/>
      <c r="D264" s="56"/>
      <c r="E264" s="56"/>
      <c r="F264" s="56"/>
      <c r="G264" s="56"/>
      <c r="H264" s="68"/>
      <c r="I264" s="68"/>
      <c r="J264" s="81"/>
      <c r="K264" s="81"/>
      <c r="L264" s="81"/>
      <c r="M264" s="125"/>
      <c r="N264" s="84"/>
      <c r="O264" s="80"/>
    </row>
    <row r="265" spans="1:18" ht="18.75" thickBot="1">
      <c r="A265" s="85" t="s">
        <v>195</v>
      </c>
      <c r="B265" s="129">
        <f>SUM(B260:B264)</f>
        <v>11.2255</v>
      </c>
      <c r="C265" s="80"/>
      <c r="D265" s="56"/>
      <c r="E265" s="56"/>
      <c r="F265" s="56"/>
      <c r="G265" s="56"/>
      <c r="H265" s="68">
        <f>D265*C265*E265</f>
        <v>0</v>
      </c>
      <c r="I265" s="68">
        <f>C265*D265</f>
        <v>0</v>
      </c>
      <c r="J265" s="81"/>
      <c r="K265" s="81"/>
      <c r="L265" s="81"/>
      <c r="M265" s="125"/>
      <c r="N265" s="84"/>
      <c r="O265" s="80"/>
    </row>
    <row r="266" spans="1:18">
      <c r="A266" s="49"/>
      <c r="B266" s="128"/>
      <c r="C266" s="80"/>
      <c r="D266" s="56"/>
      <c r="E266" s="56">
        <f>(0.6*1.8*2)+(0.5*0.5*2)+(0.5*0.6)+(0.5*1.2*2)</f>
        <v>4.16</v>
      </c>
      <c r="F266" s="56"/>
      <c r="G266" s="56"/>
      <c r="H266" s="68">
        <f>D266*C266*E266</f>
        <v>0</v>
      </c>
      <c r="I266" s="68">
        <f>C266*D266</f>
        <v>0</v>
      </c>
      <c r="J266" s="81"/>
      <c r="K266" s="81"/>
      <c r="L266" s="81"/>
      <c r="M266" s="125"/>
      <c r="N266" s="84"/>
      <c r="O266" s="80"/>
    </row>
    <row r="267" spans="1:18">
      <c r="A267" s="49"/>
      <c r="B267" s="128"/>
      <c r="C267" s="80"/>
      <c r="D267" s="56"/>
      <c r="E267" s="56"/>
      <c r="F267" s="56"/>
      <c r="G267" s="56"/>
      <c r="H267" s="68">
        <f>D267*C267*E267</f>
        <v>0</v>
      </c>
      <c r="I267" s="68">
        <f>C267*D267</f>
        <v>0</v>
      </c>
      <c r="J267" s="81"/>
      <c r="K267" s="81"/>
      <c r="L267" s="81"/>
      <c r="M267" s="125"/>
      <c r="N267" s="84"/>
      <c r="O267" s="80"/>
    </row>
    <row r="268" spans="1:18" ht="18.75" thickBot="1">
      <c r="A268" s="85"/>
      <c r="B268" s="129"/>
      <c r="C268" s="80"/>
      <c r="D268" s="56"/>
      <c r="E268" s="56"/>
      <c r="F268" s="56"/>
      <c r="G268" s="56"/>
      <c r="H268" s="68"/>
      <c r="I268" s="68"/>
      <c r="J268" s="81"/>
      <c r="K268" s="81"/>
      <c r="L268" s="81"/>
      <c r="M268" s="125"/>
      <c r="N268" s="84"/>
      <c r="O268" s="80"/>
    </row>
    <row r="269" spans="1:18">
      <c r="A269" s="49"/>
      <c r="C269" s="80"/>
      <c r="D269" s="56"/>
      <c r="E269" s="56"/>
      <c r="F269" s="56"/>
      <c r="G269" s="49"/>
      <c r="H269" s="79">
        <f>SUM(H259:H265)</f>
        <v>45.042292500000002</v>
      </c>
      <c r="I269" s="79">
        <f>SUM(I259:I265)</f>
        <v>325.27449999999999</v>
      </c>
      <c r="J269" s="79"/>
      <c r="K269" s="79"/>
      <c r="L269" s="79"/>
      <c r="M269" s="79"/>
      <c r="N269" s="86">
        <f>SUM(N262:N264)</f>
        <v>0</v>
      </c>
      <c r="O269" s="80"/>
    </row>
    <row r="270" spans="1:18">
      <c r="A270" s="48" t="s">
        <v>307</v>
      </c>
      <c r="B270" s="126">
        <f>1.5</f>
        <v>1.5</v>
      </c>
      <c r="C270" s="56">
        <v>0.15</v>
      </c>
      <c r="D270" s="65">
        <v>2.5499999999999998</v>
      </c>
      <c r="E270" s="62">
        <v>2</v>
      </c>
      <c r="F270" s="56"/>
      <c r="G270" s="56"/>
      <c r="H270" s="58">
        <f t="shared" ref="H270" si="167">E270*D270*C270*B270</f>
        <v>1.1475</v>
      </c>
      <c r="I270" s="58">
        <f>B270*D270*2</f>
        <v>7.6499999999999995</v>
      </c>
      <c r="J270" s="69"/>
      <c r="K270" s="57"/>
      <c r="L270" s="100"/>
      <c r="M270" s="66">
        <f>(B270*0)*0.00533</f>
        <v>0</v>
      </c>
      <c r="N270" s="66">
        <f>(B270*D270)*3.25*0.0038</f>
        <v>4.7238749999999996E-2</v>
      </c>
      <c r="O270" s="56"/>
    </row>
    <row r="271" spans="1:18">
      <c r="A271" s="91"/>
      <c r="C271" s="89"/>
      <c r="D271" s="89"/>
      <c r="E271" s="89"/>
      <c r="F271" s="89"/>
      <c r="G271" s="89"/>
      <c r="H271" s="70"/>
      <c r="I271" s="70"/>
      <c r="J271" s="70"/>
      <c r="K271" s="70"/>
      <c r="L271" s="70"/>
      <c r="M271" s="70"/>
      <c r="N271" s="90"/>
      <c r="O271" s="80"/>
    </row>
    <row r="272" spans="1:18" ht="18">
      <c r="A272" s="480" t="s">
        <v>297</v>
      </c>
      <c r="B272" s="481"/>
      <c r="C272" s="481"/>
      <c r="D272" s="481"/>
      <c r="E272" s="481"/>
      <c r="F272" s="481"/>
      <c r="G272" s="481"/>
      <c r="H272" s="481"/>
      <c r="I272" s="481"/>
      <c r="J272" s="481"/>
      <c r="K272" s="481"/>
      <c r="L272" s="481"/>
      <c r="M272" s="481"/>
      <c r="N272" s="481"/>
      <c r="O272" s="482"/>
    </row>
    <row r="273" spans="1:17">
      <c r="A273" s="56" t="s">
        <v>187</v>
      </c>
      <c r="B273" s="126">
        <v>12</v>
      </c>
      <c r="C273" s="56">
        <v>0.22500000000000001</v>
      </c>
      <c r="D273" s="56">
        <v>0.42499999999999999</v>
      </c>
      <c r="E273" s="62">
        <f>3-0.475</f>
        <v>2.5249999999999999</v>
      </c>
      <c r="F273" s="56"/>
      <c r="G273" s="56"/>
      <c r="H273" s="56">
        <f>E273*D273*C273*B273</f>
        <v>2.8974374999999997</v>
      </c>
      <c r="I273" s="56">
        <f>(C273+D273*2)*B273*E273</f>
        <v>32.572499999999998</v>
      </c>
      <c r="J273" s="64">
        <f>(B273*0*3.5)/6</f>
        <v>0</v>
      </c>
      <c r="K273" s="64">
        <f>(B273*0*3.5)/6</f>
        <v>0</v>
      </c>
      <c r="L273" s="64">
        <f>(B273*10*3.75)/6</f>
        <v>75</v>
      </c>
      <c r="M273" s="64">
        <f>(B273*0*4.5)/6</f>
        <v>0</v>
      </c>
      <c r="N273" s="73"/>
      <c r="O273" s="56">
        <f>(E273/0.15*4*B273)/6</f>
        <v>134.66666666666666</v>
      </c>
      <c r="P273" s="54">
        <f>(0.3+0.24)*3</f>
        <v>1.62</v>
      </c>
      <c r="Q273" s="54">
        <f>0.22+0.22+0.35+0.2+0.35+0.25</f>
        <v>1.5899999999999999</v>
      </c>
    </row>
    <row r="274" spans="1:17">
      <c r="A274" s="56"/>
      <c r="B274" s="126"/>
      <c r="C274" s="56"/>
      <c r="D274" s="65"/>
      <c r="E274" s="62"/>
      <c r="F274" s="56"/>
      <c r="G274" s="56"/>
      <c r="H274" s="56">
        <f t="shared" ref="H274:H276" si="168">E274*D274*C274*B274</f>
        <v>0</v>
      </c>
      <c r="I274" s="56">
        <f t="shared" ref="I274:I276" si="169">(C274+D274*2)*B274*E274</f>
        <v>0</v>
      </c>
      <c r="J274" s="66">
        <f>J273*0.0231</f>
        <v>0</v>
      </c>
      <c r="K274" s="75">
        <f>K273*0.0148</f>
        <v>0</v>
      </c>
      <c r="L274" s="61">
        <f>L273*0.009468</f>
        <v>0.71010000000000006</v>
      </c>
      <c r="M274" s="61">
        <f>M273*0.00533</f>
        <v>0</v>
      </c>
      <c r="N274" s="56"/>
      <c r="O274" s="62">
        <f>O273*0.001332</f>
        <v>0.17937600000000001</v>
      </c>
    </row>
    <row r="275" spans="1:17">
      <c r="A275" s="56" t="s">
        <v>188</v>
      </c>
      <c r="B275" s="126">
        <v>19</v>
      </c>
      <c r="C275" s="56">
        <v>0.2</v>
      </c>
      <c r="D275" s="65">
        <v>0.35</v>
      </c>
      <c r="E275" s="62">
        <f>3-0.475</f>
        <v>2.5249999999999999</v>
      </c>
      <c r="F275" s="56"/>
      <c r="G275" s="56"/>
      <c r="H275" s="56">
        <f t="shared" si="168"/>
        <v>3.35825</v>
      </c>
      <c r="I275" s="56">
        <f t="shared" si="169"/>
        <v>43.177499999999995</v>
      </c>
      <c r="J275" s="64"/>
      <c r="K275" s="64">
        <f>(B275*0*3.5)/6</f>
        <v>0</v>
      </c>
      <c r="L275" s="64">
        <f>(B275*8*3.5)/6</f>
        <v>88.666666666666671</v>
      </c>
      <c r="M275" s="126"/>
      <c r="N275" s="56"/>
      <c r="O275" s="56">
        <f>(E275/0.15*3.5*B275)/6</f>
        <v>186.56944444444443</v>
      </c>
      <c r="Q275" s="54">
        <f>0.37+0.37+0.37+0.1</f>
        <v>1.21</v>
      </c>
    </row>
    <row r="276" spans="1:17">
      <c r="B276" s="126"/>
      <c r="C276" s="56"/>
      <c r="D276" s="65"/>
      <c r="E276" s="62"/>
      <c r="F276" s="56"/>
      <c r="G276" s="56"/>
      <c r="H276" s="56">
        <f t="shared" si="168"/>
        <v>0</v>
      </c>
      <c r="I276" s="56">
        <f t="shared" si="169"/>
        <v>0</v>
      </c>
      <c r="J276" s="64"/>
      <c r="K276" s="75">
        <f>K275*0.0148</f>
        <v>0</v>
      </c>
      <c r="L276" s="61">
        <f>L275*0.009468</f>
        <v>0.83949600000000013</v>
      </c>
      <c r="M276" s="126"/>
      <c r="N276" s="56"/>
      <c r="O276" s="62">
        <f>O275*0.001332</f>
        <v>0.2485105</v>
      </c>
      <c r="Q276" s="54">
        <f>0.4+0.35</f>
        <v>0.75</v>
      </c>
    </row>
    <row r="277" spans="1:17">
      <c r="A277" s="56" t="s">
        <v>189</v>
      </c>
      <c r="B277" s="126"/>
      <c r="C277" s="56">
        <v>0.2</v>
      </c>
      <c r="D277" s="65">
        <v>0.3</v>
      </c>
      <c r="E277" s="62">
        <v>2.6</v>
      </c>
      <c r="F277" s="56"/>
      <c r="G277" s="56"/>
      <c r="H277" s="56">
        <f>E277*D277*C277*B277</f>
        <v>0</v>
      </c>
      <c r="I277" s="56">
        <f>(C277+D277*2)*B277*E277</f>
        <v>0</v>
      </c>
      <c r="J277" s="64">
        <f>(B277*0*4.75)/6</f>
        <v>0</v>
      </c>
      <c r="K277" s="64">
        <f>(B277*0*3.9)/6</f>
        <v>0</v>
      </c>
      <c r="L277" s="64">
        <f>(B277*6*3.75)/6</f>
        <v>0</v>
      </c>
      <c r="M277" s="126"/>
      <c r="N277" s="56"/>
      <c r="O277" s="56">
        <f>(E277/0.15*1*B277)/6</f>
        <v>0</v>
      </c>
      <c r="Q277" s="65"/>
    </row>
    <row r="278" spans="1:17">
      <c r="B278" s="126"/>
      <c r="C278" s="56"/>
      <c r="D278" s="65"/>
      <c r="E278" s="62"/>
      <c r="F278" s="56"/>
      <c r="G278" s="56"/>
      <c r="H278" s="56"/>
      <c r="I278" s="56"/>
      <c r="J278" s="158">
        <f>J277*0.0231</f>
        <v>0</v>
      </c>
      <c r="K278" s="161">
        <f>K277*0.0148</f>
        <v>0</v>
      </c>
      <c r="L278" s="157">
        <f>L277*0.009468</f>
        <v>0</v>
      </c>
      <c r="M278" s="162"/>
      <c r="N278" s="163"/>
      <c r="O278" s="62">
        <f>O277*0.001332</f>
        <v>0</v>
      </c>
    </row>
    <row r="279" spans="1:17">
      <c r="A279" s="48" t="s">
        <v>284</v>
      </c>
      <c r="B279" s="126"/>
      <c r="C279" s="56">
        <v>0.2</v>
      </c>
      <c r="D279" s="65">
        <v>0.25</v>
      </c>
      <c r="E279" s="62">
        <v>2.6</v>
      </c>
      <c r="F279" s="56"/>
      <c r="G279" s="56"/>
      <c r="H279" s="56">
        <f t="shared" ref="H279" si="170">E279*D279*C279*B279</f>
        <v>0</v>
      </c>
      <c r="I279" s="56">
        <f t="shared" ref="I279" si="171">(C279+D279*2)*B279*E279</f>
        <v>0</v>
      </c>
      <c r="J279" s="64"/>
      <c r="K279" s="64">
        <f>(B279*0*3.9)/6</f>
        <v>0</v>
      </c>
      <c r="L279" s="64">
        <f>(B279*4*3.75)/6</f>
        <v>0</v>
      </c>
      <c r="M279" s="126"/>
      <c r="N279" s="56"/>
      <c r="O279" s="56">
        <f>(E279/0.15*0.9*B279)/6</f>
        <v>0</v>
      </c>
    </row>
    <row r="280" spans="1:17">
      <c r="B280" s="126"/>
      <c r="C280" s="56"/>
      <c r="D280" s="65"/>
      <c r="E280" s="62"/>
      <c r="F280" s="56"/>
      <c r="G280" s="56"/>
      <c r="H280" s="56"/>
      <c r="I280" s="56"/>
      <c r="J280" s="158"/>
      <c r="K280" s="161">
        <f>K279*0.0148</f>
        <v>0</v>
      </c>
      <c r="L280" s="157">
        <f>L279*0.009468</f>
        <v>0</v>
      </c>
      <c r="M280" s="162"/>
      <c r="N280" s="163"/>
      <c r="O280" s="62">
        <f>O279*0.001332</f>
        <v>0</v>
      </c>
    </row>
    <row r="281" spans="1:17">
      <c r="A281" s="48" t="s">
        <v>304</v>
      </c>
      <c r="B281" s="126"/>
      <c r="C281" s="56"/>
      <c r="D281" s="65">
        <v>0.35</v>
      </c>
      <c r="E281" s="62">
        <v>3.4</v>
      </c>
      <c r="F281" s="56"/>
      <c r="G281" s="56"/>
      <c r="H281" s="56">
        <f t="shared" ref="H281" si="172">E281*D281*C281*B281</f>
        <v>0</v>
      </c>
      <c r="I281" s="56">
        <f t="shared" ref="I281" si="173">(C281+D281*2)*B281*E281</f>
        <v>0</v>
      </c>
      <c r="J281" s="64">
        <f>(B281*0*4.75)/6</f>
        <v>0</v>
      </c>
      <c r="K281" s="64">
        <f>(B281*8*4.6)/6</f>
        <v>0</v>
      </c>
      <c r="M281" s="126"/>
      <c r="N281" s="56"/>
      <c r="O281" s="56">
        <f>(E281/0.15*1.2*1.5*B281)/6</f>
        <v>0</v>
      </c>
    </row>
    <row r="282" spans="1:17">
      <c r="B282" s="126"/>
      <c r="C282" s="56"/>
      <c r="D282" s="65"/>
      <c r="E282" s="62"/>
      <c r="F282" s="56"/>
      <c r="G282" s="56"/>
      <c r="H282" s="56"/>
      <c r="I282" s="56"/>
      <c r="J282" s="158">
        <f>J281*0.0231</f>
        <v>0</v>
      </c>
      <c r="K282" s="161">
        <f>K281*0.0148</f>
        <v>0</v>
      </c>
      <c r="L282" s="165"/>
      <c r="M282" s="162"/>
      <c r="N282" s="163"/>
      <c r="O282" s="164">
        <f>O281*0.001332</f>
        <v>0</v>
      </c>
    </row>
    <row r="283" spans="1:17">
      <c r="A283" s="48" t="s">
        <v>305</v>
      </c>
      <c r="B283" s="126"/>
      <c r="C283" s="56"/>
      <c r="D283" s="65">
        <v>1</v>
      </c>
      <c r="E283" s="62">
        <v>3.4</v>
      </c>
      <c r="F283" s="56"/>
      <c r="G283" s="56"/>
      <c r="H283" s="56">
        <f t="shared" ref="H283" si="174">E283*D283*C283*B283</f>
        <v>0</v>
      </c>
      <c r="I283" s="56">
        <f t="shared" ref="I283" si="175">(C283+D283*2)*B283*E283</f>
        <v>0</v>
      </c>
      <c r="J283" s="64">
        <f>(B283*6*4.75)/6</f>
        <v>0</v>
      </c>
      <c r="K283" s="64">
        <f>(B283*0*6)/6</f>
        <v>0</v>
      </c>
      <c r="M283" s="126"/>
      <c r="N283" s="56"/>
      <c r="O283" s="56">
        <f>(E283/0.15*1*B283)/6</f>
        <v>0</v>
      </c>
    </row>
    <row r="284" spans="1:17">
      <c r="B284" s="126"/>
      <c r="C284" s="56"/>
      <c r="D284" s="65"/>
      <c r="E284" s="62"/>
      <c r="F284" s="56"/>
      <c r="G284" s="56"/>
      <c r="H284" s="185">
        <f>SUM(H273:H283)</f>
        <v>6.2556874999999996</v>
      </c>
      <c r="I284" s="185">
        <f t="shared" ref="I284:J284" si="176">SUM(I273:I283)</f>
        <v>75.75</v>
      </c>
      <c r="J284" s="56">
        <f t="shared" si="176"/>
        <v>0</v>
      </c>
      <c r="K284" s="185">
        <f>K280+K278+K276+K274</f>
        <v>0</v>
      </c>
      <c r="L284" s="185">
        <f>L280+L278+L276+L274</f>
        <v>1.5495960000000002</v>
      </c>
      <c r="M284" s="185">
        <f>M280+M278+M276+M274</f>
        <v>0</v>
      </c>
      <c r="N284" s="185">
        <f t="shared" ref="N284" si="177">N280+N278+N276+N274</f>
        <v>0</v>
      </c>
      <c r="O284" s="185">
        <f>O280+O278+O276+O274</f>
        <v>0.4278865</v>
      </c>
    </row>
    <row r="285" spans="1:17">
      <c r="A285" s="56"/>
      <c r="B285" s="126"/>
      <c r="C285" s="56"/>
      <c r="D285" s="65"/>
      <c r="E285" s="62"/>
      <c r="F285" s="56"/>
      <c r="G285" s="56"/>
      <c r="H285" s="56"/>
      <c r="I285" s="56"/>
      <c r="J285" s="64"/>
      <c r="K285" s="71"/>
      <c r="L285" s="71"/>
      <c r="M285" s="126"/>
      <c r="N285" s="56"/>
      <c r="O285" s="56"/>
    </row>
    <row r="286" spans="1:17">
      <c r="A286" s="56"/>
      <c r="B286" s="126"/>
      <c r="C286" s="56"/>
      <c r="D286" s="65"/>
      <c r="E286" s="62"/>
      <c r="F286" s="56"/>
      <c r="G286" s="56"/>
      <c r="H286" s="56"/>
      <c r="I286" s="56"/>
      <c r="J286" s="64"/>
      <c r="K286" s="71"/>
      <c r="L286" s="71"/>
      <c r="M286" s="126"/>
      <c r="N286" s="56"/>
      <c r="O286" s="56"/>
    </row>
    <row r="287" spans="1:17">
      <c r="A287" s="56"/>
      <c r="B287" s="126"/>
      <c r="C287" s="56"/>
      <c r="D287" s="65"/>
      <c r="E287" s="62"/>
      <c r="F287" s="56"/>
      <c r="G287" s="56"/>
      <c r="H287" s="56"/>
      <c r="I287" s="56"/>
      <c r="J287" s="64"/>
      <c r="K287" s="71"/>
      <c r="L287" s="71"/>
      <c r="M287" s="126"/>
      <c r="N287" s="56"/>
      <c r="O287" s="56"/>
    </row>
    <row r="288" spans="1:17">
      <c r="A288" s="56"/>
      <c r="B288" s="126"/>
      <c r="C288" s="56"/>
      <c r="D288" s="65"/>
      <c r="E288" s="62"/>
      <c r="F288" s="56"/>
      <c r="G288" s="56"/>
      <c r="H288" s="56"/>
      <c r="I288" s="56"/>
      <c r="J288" s="64"/>
      <c r="K288" s="71"/>
      <c r="L288" s="71"/>
      <c r="M288" s="126"/>
      <c r="N288" s="56"/>
      <c r="O288" s="56"/>
    </row>
    <row r="289" spans="1:17">
      <c r="A289" s="56" t="s">
        <v>285</v>
      </c>
      <c r="B289" s="126">
        <f>4.5+(1.75*2)</f>
        <v>8</v>
      </c>
      <c r="C289" s="56">
        <v>0.15</v>
      </c>
      <c r="D289" s="65">
        <v>1</v>
      </c>
      <c r="E289" s="62">
        <f>5-0.13</f>
        <v>4.87</v>
      </c>
      <c r="F289" s="56"/>
      <c r="G289" s="56"/>
      <c r="H289" s="48">
        <f>E289*D289*C289*B289</f>
        <v>5.8440000000000003</v>
      </c>
      <c r="I289" s="48">
        <f>B289*E289*2</f>
        <v>77.92</v>
      </c>
      <c r="J289" s="126"/>
      <c r="K289" s="154"/>
      <c r="L289" s="155"/>
      <c r="M289" s="124">
        <f>(B289*E289*3)*0.00533</f>
        <v>0.62297039999999992</v>
      </c>
      <c r="N289" s="124">
        <f>(B289*E289)*3.25*0.0038</f>
        <v>0.48115600000000003</v>
      </c>
      <c r="O289" s="56"/>
      <c r="Q289" s="65"/>
    </row>
    <row r="290" spans="1:17">
      <c r="A290" s="56"/>
      <c r="B290" s="126"/>
      <c r="C290" s="56"/>
      <c r="D290" s="65"/>
      <c r="E290" s="56"/>
      <c r="F290" s="56"/>
      <c r="G290" s="56"/>
      <c r="H290" s="166">
        <f>SUM(H289)</f>
        <v>5.8440000000000003</v>
      </c>
      <c r="I290" s="166">
        <f t="shared" ref="I290" si="178">SUM(I289)</f>
        <v>77.92</v>
      </c>
      <c r="J290" s="166">
        <f t="shared" ref="J290" si="179">SUM(J289)</f>
        <v>0</v>
      </c>
      <c r="K290" s="166">
        <f t="shared" ref="K290" si="180">SUM(K289)</f>
        <v>0</v>
      </c>
      <c r="L290" s="166">
        <f t="shared" ref="L290" si="181">SUM(L289)</f>
        <v>0</v>
      </c>
      <c r="M290" s="166">
        <f t="shared" ref="M290" si="182">SUM(M289)</f>
        <v>0.62297039999999992</v>
      </c>
      <c r="N290" s="166">
        <f t="shared" ref="N290" si="183">SUM(N289)</f>
        <v>0.48115600000000003</v>
      </c>
      <c r="O290" s="62"/>
    </row>
    <row r="291" spans="1:17" ht="18">
      <c r="A291" s="480" t="s">
        <v>447</v>
      </c>
      <c r="B291" s="481"/>
      <c r="C291" s="481"/>
      <c r="D291" s="481"/>
      <c r="E291" s="481"/>
      <c r="F291" s="481"/>
      <c r="G291" s="481"/>
      <c r="H291" s="481"/>
      <c r="I291" s="481"/>
      <c r="J291" s="481"/>
      <c r="K291" s="481"/>
      <c r="L291" s="481"/>
      <c r="M291" s="481"/>
      <c r="N291" s="481"/>
      <c r="O291" s="482"/>
    </row>
    <row r="292" spans="1:17">
      <c r="A292" s="56"/>
      <c r="B292" s="126"/>
      <c r="C292" s="56"/>
      <c r="D292" s="65"/>
      <c r="E292" s="62"/>
      <c r="F292" s="56"/>
      <c r="G292" s="56"/>
      <c r="H292" s="56"/>
      <c r="I292" s="56"/>
      <c r="J292" s="61"/>
      <c r="K292" s="75"/>
      <c r="L292" s="63"/>
      <c r="M292" s="126"/>
      <c r="N292" s="56"/>
      <c r="O292" s="62"/>
    </row>
    <row r="293" spans="1:17">
      <c r="A293" s="56" t="s">
        <v>187</v>
      </c>
      <c r="B293" s="126">
        <v>7</v>
      </c>
      <c r="C293" s="56">
        <v>0.22500000000000001</v>
      </c>
      <c r="D293" s="56">
        <v>0.42499999999999999</v>
      </c>
      <c r="E293" s="62">
        <f>3-0.475</f>
        <v>2.5249999999999999</v>
      </c>
      <c r="F293" s="56"/>
      <c r="G293" s="56"/>
      <c r="H293" s="56">
        <f>E293*D293*C293*B293</f>
        <v>1.6901718749999999</v>
      </c>
      <c r="I293" s="56">
        <f>(C293+D293*2)*B293*E293</f>
        <v>19.000624999999999</v>
      </c>
      <c r="J293" s="64">
        <f>(B293*0*3.5)/6</f>
        <v>0</v>
      </c>
      <c r="K293" s="64">
        <f>(B293*0*3.5)/6</f>
        <v>0</v>
      </c>
      <c r="L293" s="64">
        <f>(B293*10*3.75)/6</f>
        <v>43.75</v>
      </c>
      <c r="M293" s="64">
        <f>(B293*0*4.5)/6</f>
        <v>0</v>
      </c>
      <c r="N293" s="73"/>
      <c r="O293" s="56">
        <f>(E293/0.15*4*B293)/6</f>
        <v>78.555555555555557</v>
      </c>
      <c r="P293" s="54">
        <f>(0.3+0.24)*3</f>
        <v>1.62</v>
      </c>
      <c r="Q293" s="54">
        <f>0.22+0.22+0.35+0.2+0.35+0.25</f>
        <v>1.5899999999999999</v>
      </c>
    </row>
    <row r="294" spans="1:17">
      <c r="A294" s="56"/>
      <c r="B294" s="126"/>
      <c r="C294" s="56"/>
      <c r="D294" s="65"/>
      <c r="E294" s="62"/>
      <c r="F294" s="56"/>
      <c r="G294" s="56"/>
      <c r="H294" s="56">
        <f t="shared" ref="H294:H296" si="184">E294*D294*C294*B294</f>
        <v>0</v>
      </c>
      <c r="I294" s="56">
        <f t="shared" ref="I294:I296" si="185">(C294+D294*2)*B294*E294</f>
        <v>0</v>
      </c>
      <c r="J294" s="66">
        <f>J293*0.0231</f>
        <v>0</v>
      </c>
      <c r="K294" s="75">
        <f>K293*0.0148</f>
        <v>0</v>
      </c>
      <c r="L294" s="61">
        <f>L293*0.009468</f>
        <v>0.41422500000000001</v>
      </c>
      <c r="M294" s="61">
        <f>M293*0.00533</f>
        <v>0</v>
      </c>
      <c r="N294" s="56"/>
      <c r="O294" s="62">
        <f>O293*0.001332</f>
        <v>0.10463600000000001</v>
      </c>
    </row>
    <row r="295" spans="1:17">
      <c r="A295" s="56" t="s">
        <v>188</v>
      </c>
      <c r="B295" s="126">
        <v>2</v>
      </c>
      <c r="C295" s="56">
        <v>0.2</v>
      </c>
      <c r="D295" s="65">
        <v>0.35</v>
      </c>
      <c r="E295" s="62">
        <f>3-0.475</f>
        <v>2.5249999999999999</v>
      </c>
      <c r="F295" s="56"/>
      <c r="G295" s="56"/>
      <c r="H295" s="56">
        <f t="shared" si="184"/>
        <v>0.35349999999999998</v>
      </c>
      <c r="I295" s="56">
        <f t="shared" si="185"/>
        <v>4.544999999999999</v>
      </c>
      <c r="J295" s="64"/>
      <c r="K295" s="64">
        <f>(B295*0*3.5)/6</f>
        <v>0</v>
      </c>
      <c r="L295" s="64">
        <f>(B295*8*3.5)/6</f>
        <v>9.3333333333333339</v>
      </c>
      <c r="M295" s="126"/>
      <c r="N295" s="56"/>
      <c r="O295" s="56">
        <f>(E295/0.15*3.5*B295)/6</f>
        <v>19.638888888888889</v>
      </c>
      <c r="Q295" s="54">
        <f>0.37+0.37+0.37+0.1</f>
        <v>1.21</v>
      </c>
    </row>
    <row r="296" spans="1:17">
      <c r="B296" s="126"/>
      <c r="C296" s="56"/>
      <c r="D296" s="65"/>
      <c r="E296" s="62"/>
      <c r="F296" s="56"/>
      <c r="G296" s="56"/>
      <c r="H296" s="56">
        <f t="shared" si="184"/>
        <v>0</v>
      </c>
      <c r="I296" s="56">
        <f t="shared" si="185"/>
        <v>0</v>
      </c>
      <c r="J296" s="64"/>
      <c r="K296" s="75">
        <f>K295*0.0148</f>
        <v>0</v>
      </c>
      <c r="L296" s="61">
        <f>L295*0.009468</f>
        <v>8.8368000000000016E-2</v>
      </c>
      <c r="M296" s="126"/>
      <c r="N296" s="56"/>
      <c r="O296" s="62">
        <f>O295*0.001332</f>
        <v>2.6159000000000002E-2</v>
      </c>
      <c r="Q296" s="54">
        <f>0.4+0.35</f>
        <v>0.75</v>
      </c>
    </row>
    <row r="297" spans="1:17">
      <c r="A297" s="56"/>
      <c r="B297" s="126"/>
      <c r="C297" s="56"/>
      <c r="D297" s="65"/>
      <c r="E297" s="62"/>
      <c r="F297" s="56"/>
      <c r="G297" s="56"/>
      <c r="H297" s="56"/>
      <c r="I297" s="56"/>
      <c r="J297" s="61"/>
      <c r="K297" s="64"/>
      <c r="L297" s="64"/>
      <c r="M297" s="64"/>
      <c r="N297" s="56"/>
      <c r="O297" s="56"/>
    </row>
    <row r="298" spans="1:17">
      <c r="A298" s="56"/>
      <c r="B298" s="126"/>
      <c r="C298" s="56"/>
      <c r="D298" s="65"/>
      <c r="E298" s="62"/>
      <c r="F298" s="56"/>
      <c r="G298" s="56"/>
      <c r="H298" s="56"/>
      <c r="I298" s="56"/>
      <c r="J298" s="64"/>
      <c r="K298" s="75"/>
      <c r="L298" s="61"/>
      <c r="M298" s="61"/>
      <c r="N298" s="56"/>
      <c r="O298" s="62"/>
      <c r="Q298" s="64"/>
    </row>
    <row r="299" spans="1:17">
      <c r="A299" s="48"/>
      <c r="B299" s="126"/>
      <c r="C299" s="56"/>
      <c r="D299" s="65"/>
      <c r="E299" s="62"/>
      <c r="F299" s="56"/>
      <c r="G299" s="56"/>
      <c r="H299" s="56"/>
      <c r="I299" s="56"/>
      <c r="J299" s="61"/>
      <c r="K299" s="64"/>
      <c r="L299" s="64"/>
      <c r="M299" s="126"/>
      <c r="N299" s="56"/>
      <c r="O299" s="56"/>
      <c r="Q299" s="65"/>
    </row>
    <row r="300" spans="1:17">
      <c r="B300" s="126"/>
      <c r="C300" s="56"/>
      <c r="D300" s="65"/>
      <c r="E300" s="62"/>
      <c r="F300" s="56"/>
      <c r="G300" s="56"/>
      <c r="H300" s="56"/>
      <c r="I300" s="56"/>
      <c r="J300" s="64"/>
      <c r="K300" s="75"/>
      <c r="L300" s="61"/>
      <c r="M300" s="126"/>
      <c r="N300" s="56"/>
      <c r="O300" s="62"/>
    </row>
    <row r="301" spans="1:17">
      <c r="A301" s="48"/>
      <c r="B301" s="126"/>
      <c r="C301" s="56"/>
      <c r="D301" s="65"/>
      <c r="E301" s="62"/>
      <c r="F301" s="56"/>
      <c r="G301" s="56"/>
      <c r="H301" s="56"/>
      <c r="I301" s="56"/>
      <c r="J301" s="64"/>
      <c r="K301" s="71"/>
      <c r="L301" s="72"/>
      <c r="M301" s="126"/>
      <c r="N301" s="56"/>
      <c r="O301" s="56"/>
    </row>
    <row r="302" spans="1:17">
      <c r="B302" s="126"/>
      <c r="C302" s="56"/>
      <c r="D302" s="65"/>
      <c r="E302" s="62"/>
      <c r="F302" s="56"/>
      <c r="G302" s="56"/>
      <c r="H302" s="56"/>
      <c r="I302" s="56"/>
      <c r="J302" s="64"/>
      <c r="K302" s="64"/>
      <c r="M302" s="126"/>
      <c r="N302" s="56"/>
      <c r="O302" s="56"/>
      <c r="Q302" s="65"/>
    </row>
    <row r="303" spans="1:17">
      <c r="B303" s="126"/>
      <c r="C303" s="56"/>
      <c r="D303" s="65"/>
      <c r="E303" s="62"/>
      <c r="F303" s="56"/>
      <c r="G303" s="56"/>
      <c r="H303" s="185">
        <f>SUM(H292:H302)</f>
        <v>2.0436718749999998</v>
      </c>
      <c r="I303" s="185">
        <f t="shared" ref="I303:J303" si="186">SUM(I292:I302)</f>
        <v>23.545624999999998</v>
      </c>
      <c r="J303" s="56">
        <f t="shared" si="186"/>
        <v>0</v>
      </c>
      <c r="K303" s="185">
        <f>K299+K297+K295+K293</f>
        <v>0</v>
      </c>
      <c r="L303" s="185">
        <f>L296+L294</f>
        <v>0.50259300000000007</v>
      </c>
      <c r="M303" s="185">
        <f t="shared" ref="M303:O303" si="187">M296+M294</f>
        <v>0</v>
      </c>
      <c r="N303" s="185">
        <f t="shared" si="187"/>
        <v>0</v>
      </c>
      <c r="O303" s="185">
        <f t="shared" si="187"/>
        <v>0.13079499999999999</v>
      </c>
    </row>
    <row r="304" spans="1:17">
      <c r="A304" s="56" t="s">
        <v>285</v>
      </c>
      <c r="B304" s="126">
        <f>1.7+1.7+1.75+1.75</f>
        <v>6.9</v>
      </c>
      <c r="C304" s="56">
        <v>0.15</v>
      </c>
      <c r="D304" s="65">
        <v>1</v>
      </c>
      <c r="E304" s="62">
        <f>3.4-0.15</f>
        <v>3.25</v>
      </c>
      <c r="F304" s="56"/>
      <c r="G304" s="56"/>
      <c r="H304" s="48">
        <f>E304*D304*C304*B304</f>
        <v>3.36375</v>
      </c>
      <c r="I304" s="48">
        <f>B304*E304*2</f>
        <v>44.85</v>
      </c>
      <c r="J304" s="126"/>
      <c r="K304" s="154"/>
      <c r="L304" s="155"/>
      <c r="M304" s="124">
        <f>(B304*E304*3)*0.00533</f>
        <v>0.35857575000000003</v>
      </c>
      <c r="N304" s="124">
        <f>(B304*E304)*3.25*0.0038</f>
        <v>0.27694875000000002</v>
      </c>
      <c r="O304" s="56"/>
      <c r="Q304" s="65"/>
    </row>
    <row r="305" spans="1:16">
      <c r="A305" s="56"/>
      <c r="B305" s="126"/>
      <c r="C305" s="56"/>
      <c r="D305" s="65"/>
      <c r="E305" s="56"/>
      <c r="F305" s="56"/>
      <c r="G305" s="56"/>
      <c r="H305" s="166">
        <f>SUM(H304)</f>
        <v>3.36375</v>
      </c>
      <c r="I305" s="166">
        <f t="shared" ref="I305" si="188">SUM(I304)</f>
        <v>44.85</v>
      </c>
      <c r="J305" s="166">
        <f t="shared" ref="J305" si="189">SUM(J304)</f>
        <v>0</v>
      </c>
      <c r="K305" s="166">
        <f t="shared" ref="K305" si="190">SUM(K304)</f>
        <v>0</v>
      </c>
      <c r="L305" s="166">
        <f t="shared" ref="L305" si="191">SUM(L304)</f>
        <v>0</v>
      </c>
      <c r="M305" s="166">
        <f t="shared" ref="M305" si="192">SUM(M304)</f>
        <v>0.35857575000000003</v>
      </c>
      <c r="N305" s="166">
        <f t="shared" ref="N305" si="193">SUM(N304)</f>
        <v>0.27694875000000002</v>
      </c>
      <c r="O305" s="62"/>
    </row>
    <row r="306" spans="1:16">
      <c r="A306" s="56"/>
      <c r="B306" s="126"/>
      <c r="C306" s="56"/>
      <c r="D306" s="65"/>
      <c r="E306" s="62"/>
      <c r="F306" s="56"/>
      <c r="G306" s="56"/>
      <c r="H306" s="58"/>
      <c r="I306" s="58"/>
      <c r="J306" s="69"/>
      <c r="K306" s="57"/>
      <c r="L306" s="100"/>
      <c r="M306" s="66"/>
      <c r="N306" s="66"/>
      <c r="O306" s="56"/>
    </row>
    <row r="307" spans="1:16">
      <c r="A307" s="56"/>
      <c r="B307" s="125"/>
      <c r="C307" s="56"/>
      <c r="D307" s="56"/>
      <c r="E307" s="56"/>
      <c r="F307" s="56"/>
      <c r="G307" s="56"/>
      <c r="H307" s="56"/>
      <c r="I307" s="56"/>
      <c r="J307" s="56"/>
      <c r="K307" s="56"/>
      <c r="L307" s="63"/>
      <c r="M307" s="124"/>
      <c r="N307" s="63"/>
      <c r="O307" s="62"/>
    </row>
    <row r="308" spans="1:16">
      <c r="A308" s="56"/>
      <c r="B308" s="48"/>
      <c r="C308" s="56"/>
      <c r="D308" s="56"/>
      <c r="E308" s="56"/>
      <c r="F308" s="56"/>
      <c r="G308" s="56"/>
      <c r="H308" s="56"/>
      <c r="I308" s="56"/>
      <c r="J308" s="56"/>
      <c r="K308" s="63"/>
      <c r="L308" s="63"/>
      <c r="M308" s="124"/>
      <c r="N308" s="63"/>
      <c r="O308" s="62"/>
    </row>
    <row r="309" spans="1:16">
      <c r="A309" s="56" t="s">
        <v>190</v>
      </c>
      <c r="B309" s="126">
        <f>(6.079*3)+1.851+2.443</f>
        <v>22.530999999999999</v>
      </c>
      <c r="C309" s="56">
        <v>0.2</v>
      </c>
      <c r="D309" s="56">
        <f>0.475-0.135</f>
        <v>0.33999999999999997</v>
      </c>
      <c r="E309" s="56"/>
      <c r="F309" s="56">
        <f>0.4+C309+D309</f>
        <v>0.94000000000000006</v>
      </c>
      <c r="G309" s="56"/>
      <c r="H309" s="56">
        <f>D309*C309*B309</f>
        <v>1.5321079999999998</v>
      </c>
      <c r="I309" s="56">
        <f>B309*F309</f>
        <v>21.17914</v>
      </c>
      <c r="J309" s="63">
        <f>(B309*0/6)*0.0231</f>
        <v>0</v>
      </c>
      <c r="K309" s="63">
        <f>(B309*9/6)*0.0148</f>
        <v>0.50018820000000008</v>
      </c>
      <c r="L309" s="63">
        <f>(B309*9/6)*0.009468</f>
        <v>0.31998526200000005</v>
      </c>
      <c r="M309" s="124">
        <f t="shared" ref="M309:M311" si="194">(B309*0)/6*0.00533</f>
        <v>0</v>
      </c>
      <c r="N309" s="63"/>
      <c r="O309" s="62">
        <f>((B309/0.11*2*3)/6)*0.001332</f>
        <v>0.27282992727272731</v>
      </c>
      <c r="P309" s="54">
        <f>0.35+0.35+0.24+0.1</f>
        <v>1.04</v>
      </c>
    </row>
    <row r="310" spans="1:16">
      <c r="A310" s="48" t="s">
        <v>446</v>
      </c>
      <c r="B310" s="126">
        <f>(6.079*1)+2.65</f>
        <v>8.7289999999999992</v>
      </c>
      <c r="C310" s="56">
        <v>0.2</v>
      </c>
      <c r="D310" s="56">
        <f t="shared" ref="D310" si="195">0.475-0.135</f>
        <v>0.33999999999999997</v>
      </c>
      <c r="E310" s="56"/>
      <c r="F310" s="56">
        <f>0.4+C310+D310</f>
        <v>0.94000000000000006</v>
      </c>
      <c r="G310" s="56"/>
      <c r="H310" s="56">
        <f>D310*C310*B310</f>
        <v>0.59357199999999988</v>
      </c>
      <c r="I310" s="56">
        <f>B310*F310</f>
        <v>8.2052599999999991</v>
      </c>
      <c r="J310" s="63">
        <f>(B310*0/6)*0.0231</f>
        <v>0</v>
      </c>
      <c r="K310" s="63">
        <f>(B310*15/6)*0.0148</f>
        <v>0.32297300000000001</v>
      </c>
      <c r="L310" s="63">
        <f>(B310*12/6)*0.009468</f>
        <v>0.16529234400000001</v>
      </c>
      <c r="M310" s="124">
        <f t="shared" si="194"/>
        <v>0</v>
      </c>
      <c r="N310" s="63"/>
      <c r="O310" s="62">
        <f>((B310/0.15*2*2)/6)*0.001332</f>
        <v>5.1675679999999995E-2</v>
      </c>
      <c r="P310" s="54">
        <f>0.35+0.35+0.24+0.1</f>
        <v>1.04</v>
      </c>
    </row>
    <row r="311" spans="1:16">
      <c r="A311" s="56" t="s">
        <v>191</v>
      </c>
      <c r="B311" s="125">
        <f>2.443+2.5</f>
        <v>4.9429999999999996</v>
      </c>
      <c r="C311" s="56">
        <v>0.2</v>
      </c>
      <c r="D311" s="56">
        <f>0.4-0.135</f>
        <v>0.26500000000000001</v>
      </c>
      <c r="E311" s="56"/>
      <c r="F311" s="56">
        <f t="shared" ref="F311:F313" si="196">0.4+C311+D311</f>
        <v>0.8650000000000001</v>
      </c>
      <c r="G311" s="56"/>
      <c r="H311" s="56">
        <f t="shared" ref="H311:H313" si="197">D311*C311*B311</f>
        <v>0.26197900000000002</v>
      </c>
      <c r="I311" s="56">
        <f t="shared" ref="I311:I313" si="198">B311*F311</f>
        <v>4.2756949999999998</v>
      </c>
      <c r="J311" s="63">
        <f t="shared" ref="J311:J313" si="199">(B311*0/6)*0.0231</f>
        <v>0</v>
      </c>
      <c r="K311" s="63">
        <f t="shared" ref="K311:K313" si="200">(B311*0/6)*0.0148</f>
        <v>0</v>
      </c>
      <c r="L311" s="63">
        <f>(B311*15/6)*0.009468</f>
        <v>0.11700081000000001</v>
      </c>
      <c r="M311" s="124">
        <f t="shared" si="194"/>
        <v>0</v>
      </c>
      <c r="N311" s="63"/>
      <c r="O311" s="62">
        <f>((B311/0.11*2*2.5)/6)*0.001332</f>
        <v>4.9879363636363638E-2</v>
      </c>
    </row>
    <row r="312" spans="1:16">
      <c r="A312" s="56" t="s">
        <v>306</v>
      </c>
      <c r="B312" s="48">
        <f>(1.676*3)+2.5+2.5</f>
        <v>10.027999999999999</v>
      </c>
      <c r="C312" s="56">
        <v>0.2</v>
      </c>
      <c r="D312" s="56">
        <f t="shared" ref="D312:D313" si="201">0.4-0.135</f>
        <v>0.26500000000000001</v>
      </c>
      <c r="E312" s="56"/>
      <c r="F312" s="56">
        <f t="shared" si="196"/>
        <v>0.8650000000000001</v>
      </c>
      <c r="G312" s="56"/>
      <c r="H312" s="56">
        <f t="shared" si="197"/>
        <v>0.53148399999999996</v>
      </c>
      <c r="I312" s="56">
        <f t="shared" si="198"/>
        <v>8.67422</v>
      </c>
      <c r="J312" s="63">
        <f t="shared" si="199"/>
        <v>0</v>
      </c>
      <c r="K312" s="63">
        <f t="shared" si="200"/>
        <v>0</v>
      </c>
      <c r="L312" s="63">
        <f>(B312*6/6)*0.009468</f>
        <v>9.4945103999999989E-2</v>
      </c>
      <c r="M312" s="124">
        <f>(B312*0)/6*0.00533</f>
        <v>0</v>
      </c>
      <c r="N312" s="63"/>
      <c r="O312" s="62">
        <f>((B312/0.15*2*2.5)/6)*0.001332</f>
        <v>7.4207200000000001E-2</v>
      </c>
    </row>
    <row r="313" spans="1:16">
      <c r="A313" s="56" t="s">
        <v>192</v>
      </c>
      <c r="B313" s="48">
        <f>2.6+1.851+2.443</f>
        <v>6.8940000000000001</v>
      </c>
      <c r="C313" s="56">
        <v>0.2</v>
      </c>
      <c r="D313" s="56">
        <f t="shared" si="201"/>
        <v>0.26500000000000001</v>
      </c>
      <c r="E313" s="56"/>
      <c r="F313" s="56">
        <f t="shared" si="196"/>
        <v>0.8650000000000001</v>
      </c>
      <c r="G313" s="56"/>
      <c r="H313" s="56">
        <f t="shared" si="197"/>
        <v>0.36538200000000004</v>
      </c>
      <c r="I313" s="56">
        <f t="shared" si="198"/>
        <v>5.9633100000000008</v>
      </c>
      <c r="J313" s="63">
        <f t="shared" si="199"/>
        <v>0</v>
      </c>
      <c r="K313" s="63">
        <f t="shared" si="200"/>
        <v>0</v>
      </c>
      <c r="L313" s="63">
        <f>(B313*9/6)*0.009468</f>
        <v>9.7908588000000005E-2</v>
      </c>
      <c r="M313" s="124">
        <f t="shared" ref="M313" si="202">(B313*0)/6*0.00533</f>
        <v>0</v>
      </c>
      <c r="N313" s="63"/>
      <c r="O313" s="62">
        <f>((B313/0.15*1*2.5)/6)*0.001332</f>
        <v>2.5507800000000004E-2</v>
      </c>
    </row>
    <row r="314" spans="1:16">
      <c r="A314" s="56"/>
      <c r="B314" s="48"/>
      <c r="C314" s="56"/>
      <c r="D314" s="56"/>
      <c r="E314" s="56"/>
      <c r="F314" s="56"/>
      <c r="G314" s="56"/>
      <c r="H314" s="56"/>
      <c r="I314" s="56"/>
      <c r="J314" s="63"/>
      <c r="K314" s="63"/>
      <c r="L314" s="63"/>
      <c r="M314" s="124"/>
      <c r="N314" s="63"/>
      <c r="O314" s="62"/>
    </row>
    <row r="315" spans="1:16">
      <c r="A315" s="56"/>
      <c r="B315" s="48"/>
      <c r="C315" s="56"/>
      <c r="D315" s="56"/>
      <c r="E315" s="56"/>
      <c r="F315" s="56"/>
      <c r="G315" s="56"/>
      <c r="H315" s="56"/>
      <c r="I315" s="56"/>
      <c r="J315" s="63"/>
      <c r="K315" s="63"/>
      <c r="L315" s="63"/>
      <c r="M315" s="124"/>
      <c r="N315" s="63"/>
      <c r="O315" s="62"/>
    </row>
    <row r="316" spans="1:16" s="165" customFormat="1">
      <c r="A316" s="171"/>
      <c r="B316" s="169"/>
      <c r="C316" s="163"/>
      <c r="D316" s="163"/>
      <c r="E316" s="163"/>
      <c r="F316" s="163"/>
      <c r="G316" s="163"/>
      <c r="H316" s="163"/>
      <c r="I316" s="163"/>
      <c r="J316" s="170"/>
      <c r="K316" s="170"/>
      <c r="L316" s="170"/>
      <c r="M316" s="160"/>
      <c r="N316" s="170"/>
      <c r="O316" s="164"/>
    </row>
    <row r="317" spans="1:16" s="165" customFormat="1">
      <c r="A317" s="171"/>
      <c r="B317" s="171"/>
      <c r="C317" s="163"/>
      <c r="D317" s="163"/>
      <c r="E317" s="163"/>
      <c r="F317" s="163"/>
      <c r="G317" s="163"/>
      <c r="H317" s="163"/>
      <c r="I317" s="163"/>
      <c r="J317" s="170"/>
      <c r="K317" s="170"/>
      <c r="L317" s="170"/>
      <c r="M317" s="160"/>
      <c r="N317" s="170"/>
      <c r="O317" s="164"/>
    </row>
    <row r="318" spans="1:16">
      <c r="A318" s="48"/>
      <c r="C318" s="89"/>
      <c r="D318" s="89"/>
      <c r="E318" s="89"/>
      <c r="F318" s="89"/>
      <c r="G318" s="89"/>
      <c r="H318" s="172">
        <f>SUM(H307:H317)</f>
        <v>3.2845249999999995</v>
      </c>
      <c r="I318" s="172">
        <f>SUM(I307:I317)</f>
        <v>48.297624999999996</v>
      </c>
      <c r="J318" s="172"/>
      <c r="K318" s="172"/>
      <c r="L318" s="172">
        <f>SUM(L307:L317)</f>
        <v>0.79513210800000012</v>
      </c>
      <c r="M318" s="172">
        <f>SUM(M307:M317)</f>
        <v>0</v>
      </c>
      <c r="N318" s="173">
        <f>SUM(N307:N317)</f>
        <v>0</v>
      </c>
      <c r="O318" s="172">
        <f>SUM(O307:O317)</f>
        <v>0.47409997090909101</v>
      </c>
    </row>
    <row r="319" spans="1:16">
      <c r="A319" s="91"/>
      <c r="B319" s="125">
        <f>SUM(B307:B318)</f>
        <v>53.124999999999993</v>
      </c>
      <c r="C319" s="56">
        <v>0.2</v>
      </c>
      <c r="D319" s="50">
        <f>C319*B319</f>
        <v>10.625</v>
      </c>
      <c r="E319" s="50"/>
      <c r="F319" s="50"/>
      <c r="G319" s="50"/>
      <c r="H319" s="50"/>
      <c r="I319" s="50"/>
      <c r="J319" s="50"/>
      <c r="K319" s="101"/>
      <c r="L319" s="101"/>
      <c r="M319" s="130"/>
      <c r="N319" s="101"/>
      <c r="O319" s="92"/>
    </row>
    <row r="320" spans="1:16">
      <c r="A320" s="488" t="s">
        <v>252</v>
      </c>
      <c r="B320" s="489"/>
      <c r="C320" s="489"/>
      <c r="D320" s="489"/>
      <c r="E320" s="489"/>
      <c r="F320" s="489"/>
      <c r="G320" s="489"/>
      <c r="H320" s="489"/>
      <c r="I320" s="489"/>
      <c r="J320" s="489"/>
      <c r="K320" s="489"/>
      <c r="L320" s="489"/>
      <c r="M320" s="489"/>
      <c r="N320" s="489"/>
      <c r="O320" s="490"/>
    </row>
    <row r="321" spans="1:16">
      <c r="A321" s="56" t="s">
        <v>285</v>
      </c>
      <c r="B321" s="127"/>
      <c r="C321" s="56">
        <v>0.15</v>
      </c>
      <c r="D321" s="65">
        <f>3.383+0.3</f>
        <v>3.6829999999999998</v>
      </c>
      <c r="E321" s="62">
        <v>1</v>
      </c>
      <c r="F321" s="56"/>
      <c r="G321" s="56"/>
      <c r="H321" s="58">
        <f t="shared" ref="H321" si="203">E321*D321*C321*B321</f>
        <v>0</v>
      </c>
      <c r="I321" s="58">
        <f>B321*D321*2</f>
        <v>0</v>
      </c>
      <c r="J321" s="69"/>
      <c r="K321" s="57"/>
      <c r="L321" s="100"/>
      <c r="M321" s="124">
        <f>(B321*D321*3)*0.00533</f>
        <v>0</v>
      </c>
      <c r="N321" s="124">
        <f>(B321*D321)*3*0.0038</f>
        <v>0</v>
      </c>
      <c r="O321" s="56"/>
    </row>
    <row r="322" spans="1:16">
      <c r="B322" s="125"/>
      <c r="C322" s="56"/>
      <c r="D322" s="56"/>
      <c r="E322" s="56"/>
      <c r="F322" s="56"/>
      <c r="G322" s="56"/>
      <c r="H322" s="56"/>
      <c r="I322" s="56"/>
      <c r="J322" s="63"/>
      <c r="K322" s="63"/>
      <c r="L322" s="63"/>
      <c r="M322" s="124"/>
      <c r="N322" s="63"/>
      <c r="O322" s="62"/>
    </row>
    <row r="323" spans="1:16">
      <c r="A323" s="56" t="s">
        <v>190</v>
      </c>
      <c r="B323" s="126">
        <f>(6.079*3)+1.851+2.443</f>
        <v>22.530999999999999</v>
      </c>
      <c r="C323" s="56">
        <v>0.2</v>
      </c>
      <c r="D323" s="56">
        <f>0.475-0.135</f>
        <v>0.33999999999999997</v>
      </c>
      <c r="E323" s="56"/>
      <c r="F323" s="56">
        <f>0.4+C323+D323</f>
        <v>0.94000000000000006</v>
      </c>
      <c r="G323" s="56"/>
      <c r="H323" s="56">
        <f>D323*C323*B323</f>
        <v>1.5321079999999998</v>
      </c>
      <c r="I323" s="56">
        <f>B323*F323</f>
        <v>21.17914</v>
      </c>
      <c r="J323" s="63">
        <f>(B323*0/6)*0.0231</f>
        <v>0</v>
      </c>
      <c r="K323" s="63">
        <f>(B323*9/6)*0.0148</f>
        <v>0.50018820000000008</v>
      </c>
      <c r="L323" s="63">
        <f>(B323*9/6)*0.009468</f>
        <v>0.31998526200000005</v>
      </c>
      <c r="M323" s="124">
        <f t="shared" ref="M323:M325" si="204">(B323*0)/6*0.00533</f>
        <v>0</v>
      </c>
      <c r="N323" s="63"/>
      <c r="O323" s="62">
        <f>((B323/0.11*2*3)/6)*0.001332</f>
        <v>0.27282992727272731</v>
      </c>
      <c r="P323" s="54">
        <f>0.35+0.35+0.24+0.1</f>
        <v>1.04</v>
      </c>
    </row>
    <row r="324" spans="1:16">
      <c r="A324" s="48" t="s">
        <v>446</v>
      </c>
      <c r="B324" s="126">
        <f>(6.079*1)+2.65</f>
        <v>8.7289999999999992</v>
      </c>
      <c r="C324" s="56">
        <v>0.2</v>
      </c>
      <c r="D324" s="56">
        <f t="shared" ref="D324" si="205">0.475-0.135</f>
        <v>0.33999999999999997</v>
      </c>
      <c r="E324" s="56"/>
      <c r="F324" s="56">
        <f>0.4+C324+D324</f>
        <v>0.94000000000000006</v>
      </c>
      <c r="G324" s="56"/>
      <c r="H324" s="56">
        <f>D324*C324*B324</f>
        <v>0.59357199999999988</v>
      </c>
      <c r="I324" s="56">
        <f>B324*F324</f>
        <v>8.2052599999999991</v>
      </c>
      <c r="J324" s="63">
        <f>(B324*0/6)*0.0231</f>
        <v>0</v>
      </c>
      <c r="K324" s="63">
        <f>(B324*15/6)*0.0148</f>
        <v>0.32297300000000001</v>
      </c>
      <c r="L324" s="63">
        <f>(B324*12/6)*0.009468</f>
        <v>0.16529234400000001</v>
      </c>
      <c r="M324" s="124">
        <f t="shared" si="204"/>
        <v>0</v>
      </c>
      <c r="N324" s="63"/>
      <c r="O324" s="62">
        <f>((B324/0.15*2*2)/6)*0.001332</f>
        <v>5.1675679999999995E-2</v>
      </c>
      <c r="P324" s="54">
        <f>0.35+0.35+0.24+0.1</f>
        <v>1.04</v>
      </c>
    </row>
    <row r="325" spans="1:16">
      <c r="A325" s="56" t="s">
        <v>191</v>
      </c>
      <c r="B325" s="125">
        <f>2.443+2.5</f>
        <v>4.9429999999999996</v>
      </c>
      <c r="C325" s="56">
        <v>0.2</v>
      </c>
      <c r="D325" s="56">
        <f>0.4-0.135</f>
        <v>0.26500000000000001</v>
      </c>
      <c r="E325" s="56"/>
      <c r="F325" s="56">
        <f t="shared" ref="F325:F327" si="206">0.4+C325+D325</f>
        <v>0.8650000000000001</v>
      </c>
      <c r="G325" s="56"/>
      <c r="H325" s="56">
        <f t="shared" ref="H325:H330" si="207">D325*C325*B325</f>
        <v>0.26197900000000002</v>
      </c>
      <c r="I325" s="56">
        <f t="shared" ref="I325:I330" si="208">B325*F325</f>
        <v>4.2756949999999998</v>
      </c>
      <c r="J325" s="63">
        <f t="shared" ref="J325:J328" si="209">(B325*0/6)*0.0231</f>
        <v>0</v>
      </c>
      <c r="K325" s="63">
        <f t="shared" ref="K325:K328" si="210">(B325*0/6)*0.0148</f>
        <v>0</v>
      </c>
      <c r="L325" s="63">
        <f>(B325*15/6)*0.009468</f>
        <v>0.11700081000000001</v>
      </c>
      <c r="M325" s="124">
        <f t="shared" si="204"/>
        <v>0</v>
      </c>
      <c r="N325" s="63"/>
      <c r="O325" s="62">
        <f>((B325/0.11*2*2.5)/6)*0.001332</f>
        <v>4.9879363636363638E-2</v>
      </c>
    </row>
    <row r="326" spans="1:16">
      <c r="A326" s="56" t="s">
        <v>306</v>
      </c>
      <c r="B326" s="48">
        <f>(1.676*3)+2.5+2.5</f>
        <v>10.027999999999999</v>
      </c>
      <c r="C326" s="56">
        <v>0.2</v>
      </c>
      <c r="D326" s="56">
        <f t="shared" ref="D326:D327" si="211">0.4-0.135</f>
        <v>0.26500000000000001</v>
      </c>
      <c r="E326" s="56"/>
      <c r="F326" s="56">
        <f t="shared" si="206"/>
        <v>0.8650000000000001</v>
      </c>
      <c r="G326" s="56"/>
      <c r="H326" s="56">
        <f t="shared" si="207"/>
        <v>0.53148399999999996</v>
      </c>
      <c r="I326" s="56">
        <f t="shared" si="208"/>
        <v>8.67422</v>
      </c>
      <c r="J326" s="63">
        <f t="shared" si="209"/>
        <v>0</v>
      </c>
      <c r="K326" s="63">
        <f t="shared" si="210"/>
        <v>0</v>
      </c>
      <c r="L326" s="63">
        <f>(B326*6/6)*0.009468</f>
        <v>9.4945103999999989E-2</v>
      </c>
      <c r="M326" s="124">
        <f>(B326*0)/6*0.00533</f>
        <v>0</v>
      </c>
      <c r="N326" s="63"/>
      <c r="O326" s="62">
        <f>((B326/0.15*2*2.5)/6)*0.001332</f>
        <v>7.4207200000000001E-2</v>
      </c>
    </row>
    <row r="327" spans="1:16">
      <c r="A327" s="56" t="s">
        <v>192</v>
      </c>
      <c r="B327" s="48">
        <f>2.6+1.851+2.443</f>
        <v>6.8940000000000001</v>
      </c>
      <c r="C327" s="56">
        <v>0.2</v>
      </c>
      <c r="D327" s="56">
        <f t="shared" si="211"/>
        <v>0.26500000000000001</v>
      </c>
      <c r="E327" s="56"/>
      <c r="F327" s="56">
        <f t="shared" si="206"/>
        <v>0.8650000000000001</v>
      </c>
      <c r="G327" s="56"/>
      <c r="H327" s="56">
        <f t="shared" si="207"/>
        <v>0.36538200000000004</v>
      </c>
      <c r="I327" s="56">
        <f t="shared" si="208"/>
        <v>5.9633100000000008</v>
      </c>
      <c r="J327" s="63">
        <f t="shared" si="209"/>
        <v>0</v>
      </c>
      <c r="K327" s="63">
        <f t="shared" si="210"/>
        <v>0</v>
      </c>
      <c r="L327" s="63">
        <f>(B327*9/6)*0.009468</f>
        <v>9.7908588000000005E-2</v>
      </c>
      <c r="M327" s="124">
        <f t="shared" ref="M327:M331" si="212">(B327*0)/6*0.00533</f>
        <v>0</v>
      </c>
      <c r="N327" s="63"/>
      <c r="O327" s="62">
        <f>((B327/0.15*1*2.5)/6)*0.001332</f>
        <v>2.5507800000000004E-2</v>
      </c>
    </row>
    <row r="328" spans="1:16">
      <c r="A328" s="56"/>
      <c r="B328" s="48"/>
      <c r="C328" s="56"/>
      <c r="D328" s="56"/>
      <c r="E328" s="56"/>
      <c r="F328" s="56"/>
      <c r="G328" s="56"/>
      <c r="H328" s="56">
        <f t="shared" si="207"/>
        <v>0</v>
      </c>
      <c r="I328" s="56">
        <f t="shared" si="208"/>
        <v>0</v>
      </c>
      <c r="J328" s="63">
        <f t="shared" si="209"/>
        <v>0</v>
      </c>
      <c r="K328" s="63">
        <f t="shared" si="210"/>
        <v>0</v>
      </c>
      <c r="L328" s="63">
        <f>(B328*12/6)*0.009468</f>
        <v>0</v>
      </c>
      <c r="M328" s="124">
        <f t="shared" si="212"/>
        <v>0</v>
      </c>
      <c r="N328" s="63"/>
      <c r="O328" s="62">
        <f>((B328/0.15*2*1.5)/6)*0.001332</f>
        <v>0</v>
      </c>
    </row>
    <row r="329" spans="1:16">
      <c r="A329" s="56"/>
      <c r="B329" s="48"/>
      <c r="C329" s="56"/>
      <c r="D329" s="56"/>
      <c r="E329" s="56"/>
      <c r="F329" s="56"/>
      <c r="G329" s="56"/>
      <c r="H329" s="56">
        <f t="shared" si="207"/>
        <v>0</v>
      </c>
      <c r="I329" s="56">
        <f t="shared" si="208"/>
        <v>0</v>
      </c>
      <c r="J329" s="63"/>
      <c r="K329" s="63"/>
      <c r="L329" s="63">
        <f>(B329*0/6)*0.009468</f>
        <v>0</v>
      </c>
      <c r="M329" s="124">
        <f t="shared" si="212"/>
        <v>0</v>
      </c>
      <c r="N329" s="63"/>
      <c r="O329" s="62">
        <f t="shared" ref="O329:O331" si="213">((B329/0.15*1*1.5)/6)*0.001332</f>
        <v>0</v>
      </c>
    </row>
    <row r="330" spans="1:16">
      <c r="A330" s="56"/>
      <c r="B330" s="48"/>
      <c r="C330" s="56"/>
      <c r="D330" s="56"/>
      <c r="E330" s="56"/>
      <c r="F330" s="56"/>
      <c r="G330" s="56"/>
      <c r="H330" s="56">
        <f t="shared" si="207"/>
        <v>0</v>
      </c>
      <c r="I330" s="56">
        <f t="shared" si="208"/>
        <v>0</v>
      </c>
      <c r="J330" s="63"/>
      <c r="K330" s="63"/>
      <c r="L330" s="63"/>
      <c r="M330" s="124">
        <f t="shared" si="212"/>
        <v>0</v>
      </c>
      <c r="N330" s="63"/>
      <c r="O330" s="62">
        <f t="shared" si="213"/>
        <v>0</v>
      </c>
    </row>
    <row r="331" spans="1:16">
      <c r="A331" s="56"/>
      <c r="B331" s="48"/>
      <c r="C331" s="56"/>
      <c r="D331" s="56"/>
      <c r="E331" s="56"/>
      <c r="F331" s="56"/>
      <c r="G331" s="56"/>
      <c r="H331" s="56"/>
      <c r="I331" s="56"/>
      <c r="J331" s="63"/>
      <c r="K331" s="63"/>
      <c r="L331" s="63"/>
      <c r="M331" s="124">
        <f t="shared" si="212"/>
        <v>0</v>
      </c>
      <c r="N331" s="63"/>
      <c r="O331" s="62">
        <f t="shared" si="213"/>
        <v>0</v>
      </c>
    </row>
    <row r="332" spans="1:16">
      <c r="A332" s="48"/>
      <c r="C332" s="89"/>
      <c r="D332" s="89"/>
      <c r="E332" s="89"/>
      <c r="F332" s="89"/>
      <c r="G332" s="89"/>
      <c r="H332" s="172">
        <f>SUM(H321:H331)</f>
        <v>3.2845249999999995</v>
      </c>
      <c r="I332" s="172">
        <f>SUM(I321:I331)</f>
        <v>48.297624999999996</v>
      </c>
      <c r="J332" s="172"/>
      <c r="K332" s="172"/>
      <c r="L332" s="172">
        <f>SUM(L321:L331)</f>
        <v>0.79513210800000012</v>
      </c>
      <c r="M332" s="172">
        <f>SUM(M321:M331)</f>
        <v>0</v>
      </c>
      <c r="N332" s="173">
        <f>SUM(N321:N331)</f>
        <v>0</v>
      </c>
      <c r="O332" s="172">
        <f>SUM(O321:O331)</f>
        <v>0.47409997090909101</v>
      </c>
    </row>
    <row r="333" spans="1:16">
      <c r="A333" s="49"/>
      <c r="B333" s="127">
        <v>106.035</v>
      </c>
      <c r="C333" s="80">
        <f>B333-(B385+C334)</f>
        <v>106.035</v>
      </c>
      <c r="D333" s="56">
        <v>0.13500000000000001</v>
      </c>
      <c r="E333" s="56">
        <f>D333*C333</f>
        <v>14.314725000000001</v>
      </c>
      <c r="F333" s="56"/>
      <c r="G333" s="56"/>
      <c r="H333" s="68">
        <f>E333</f>
        <v>14.314725000000001</v>
      </c>
      <c r="I333" s="68">
        <f>(C333+C334+C335)-E330</f>
        <v>106.035</v>
      </c>
      <c r="J333" s="68" t="s">
        <v>226</v>
      </c>
      <c r="K333" s="68"/>
      <c r="L333" s="68"/>
      <c r="M333" s="48"/>
      <c r="N333" s="83">
        <f>(J334*5.4)*0.003778</f>
        <v>2.1632412420000002</v>
      </c>
      <c r="O333" s="56"/>
    </row>
    <row r="334" spans="1:16">
      <c r="B334" s="128" t="s">
        <v>194</v>
      </c>
      <c r="C334" s="49"/>
      <c r="D334" s="54">
        <v>0.15</v>
      </c>
      <c r="E334" s="56">
        <f>D334*C334</f>
        <v>0</v>
      </c>
      <c r="F334" s="99"/>
      <c r="G334" s="56"/>
      <c r="H334" s="68">
        <f>E334</f>
        <v>0</v>
      </c>
      <c r="I334" s="68"/>
      <c r="J334" s="68">
        <f>C333+C334</f>
        <v>106.035</v>
      </c>
      <c r="K334" s="81"/>
      <c r="L334" s="81"/>
      <c r="M334" s="48"/>
      <c r="N334" s="83"/>
      <c r="O334" s="56"/>
    </row>
    <row r="335" spans="1:16">
      <c r="A335" s="49"/>
      <c r="B335" s="247"/>
      <c r="C335" s="49"/>
      <c r="E335" s="56"/>
      <c r="F335" s="99"/>
      <c r="G335" s="56"/>
      <c r="H335" s="99"/>
      <c r="I335" s="68"/>
      <c r="J335" s="81"/>
      <c r="K335" s="81"/>
      <c r="L335" s="81"/>
      <c r="M335" s="125"/>
      <c r="N335" s="84"/>
      <c r="O335" s="80"/>
    </row>
    <row r="336" spans="1:16">
      <c r="A336" s="246">
        <f>B333/0.092</f>
        <v>1152.554347826087</v>
      </c>
      <c r="B336" s="128"/>
      <c r="C336" s="80"/>
      <c r="D336" s="56"/>
      <c r="E336" s="56"/>
      <c r="F336" s="56"/>
      <c r="G336" s="56"/>
      <c r="H336" s="68">
        <f>D336*C336*E336</f>
        <v>0</v>
      </c>
      <c r="I336" s="68">
        <f>C336*D336</f>
        <v>0</v>
      </c>
      <c r="J336" s="81"/>
      <c r="K336" s="81"/>
      <c r="L336" s="81"/>
      <c r="M336" s="125"/>
      <c r="N336" s="84"/>
      <c r="O336" s="80"/>
    </row>
    <row r="337" spans="1:16">
      <c r="A337" s="247"/>
      <c r="B337" s="128"/>
      <c r="C337" s="80"/>
      <c r="D337" s="56"/>
      <c r="E337" s="56"/>
      <c r="F337" s="56"/>
      <c r="G337" s="56"/>
      <c r="H337" s="68">
        <f>D337*C337*E337</f>
        <v>0</v>
      </c>
      <c r="I337" s="68">
        <f>C337*D337</f>
        <v>0</v>
      </c>
      <c r="J337" s="81"/>
      <c r="K337" s="81"/>
      <c r="L337" s="81"/>
      <c r="M337" s="125"/>
      <c r="N337" s="84"/>
      <c r="O337" s="80"/>
    </row>
    <row r="338" spans="1:16">
      <c r="A338" s="50"/>
      <c r="B338" s="125"/>
      <c r="C338" s="80"/>
      <c r="D338" s="56"/>
      <c r="E338" s="56"/>
      <c r="F338" s="56"/>
      <c r="G338" s="56"/>
      <c r="H338" s="68"/>
      <c r="I338" s="68"/>
      <c r="J338" s="81"/>
      <c r="K338" s="81"/>
      <c r="L338" s="81"/>
      <c r="M338" s="125"/>
      <c r="N338" s="84"/>
      <c r="O338" s="80"/>
    </row>
    <row r="339" spans="1:16">
      <c r="B339" s="125"/>
      <c r="C339" s="56"/>
      <c r="D339" s="56"/>
      <c r="E339" s="56"/>
      <c r="F339" s="56"/>
      <c r="G339" s="56"/>
      <c r="H339" s="56"/>
      <c r="I339" s="56"/>
      <c r="J339" s="63"/>
      <c r="K339" s="63"/>
      <c r="L339" s="63"/>
      <c r="M339" s="124"/>
      <c r="N339" s="63"/>
      <c r="O339" s="62"/>
    </row>
    <row r="340" spans="1:16">
      <c r="A340" s="56" t="s">
        <v>190</v>
      </c>
      <c r="B340" s="126"/>
      <c r="C340" s="56">
        <v>0.2</v>
      </c>
      <c r="D340" s="56">
        <f>0.475-0.135</f>
        <v>0.33999999999999997</v>
      </c>
      <c r="E340" s="56"/>
      <c r="F340" s="56">
        <f>0.4+C340+D340</f>
        <v>0.94000000000000006</v>
      </c>
      <c r="G340" s="56"/>
      <c r="H340" s="56">
        <f>D340*C340*B340</f>
        <v>0</v>
      </c>
      <c r="I340" s="56">
        <f>B340*F340</f>
        <v>0</v>
      </c>
      <c r="J340" s="63">
        <f>(B340*0/6)*0.0231</f>
        <v>0</v>
      </c>
      <c r="K340" s="63">
        <f>(B340*9/6)*0.0148</f>
        <v>0</v>
      </c>
      <c r="L340" s="63">
        <f>(B340*9/6)*0.009468</f>
        <v>0</v>
      </c>
      <c r="M340" s="124">
        <f t="shared" ref="M340:M342" si="214">(B340*0)/6*0.00533</f>
        <v>0</v>
      </c>
      <c r="N340" s="63"/>
      <c r="O340" s="62">
        <f>((B340/0.11*2*3)/6)*0.001332</f>
        <v>0</v>
      </c>
      <c r="P340" s="54">
        <f>0.35+0.35+0.24+0.1</f>
        <v>1.04</v>
      </c>
    </row>
    <row r="341" spans="1:16">
      <c r="A341" s="48" t="s">
        <v>446</v>
      </c>
      <c r="B341" s="126"/>
      <c r="C341" s="56">
        <v>0.2</v>
      </c>
      <c r="D341" s="56">
        <f t="shared" ref="D341" si="215">0.475-0.135</f>
        <v>0.33999999999999997</v>
      </c>
      <c r="E341" s="56"/>
      <c r="F341" s="56">
        <f>0.4+C341+D341</f>
        <v>0.94000000000000006</v>
      </c>
      <c r="G341" s="56"/>
      <c r="H341" s="56">
        <f>D341*C341*B341</f>
        <v>0</v>
      </c>
      <c r="I341" s="56">
        <f>B341*F341</f>
        <v>0</v>
      </c>
      <c r="J341" s="63">
        <f>(B341*0/6)*0.0231</f>
        <v>0</v>
      </c>
      <c r="K341" s="63">
        <f>(B341*15/6)*0.0148</f>
        <v>0</v>
      </c>
      <c r="L341" s="63">
        <f>(B341*12/6)*0.009468</f>
        <v>0</v>
      </c>
      <c r="M341" s="124">
        <f t="shared" si="214"/>
        <v>0</v>
      </c>
      <c r="N341" s="63"/>
      <c r="O341" s="62">
        <f>((B341/0.15*2*2)/6)*0.001332</f>
        <v>0</v>
      </c>
      <c r="P341" s="54">
        <f>0.35+0.35+0.24+0.1</f>
        <v>1.04</v>
      </c>
    </row>
    <row r="342" spans="1:16">
      <c r="A342" s="56" t="s">
        <v>191</v>
      </c>
      <c r="B342" s="48">
        <f>((0.866+1.099+0.375)*2+0.501)</f>
        <v>5.181</v>
      </c>
      <c r="C342" s="56">
        <v>0.2</v>
      </c>
      <c r="D342" s="56">
        <f>0.4-0.135</f>
        <v>0.26500000000000001</v>
      </c>
      <c r="E342" s="56"/>
      <c r="F342" s="56">
        <f t="shared" ref="F342:F344" si="216">0.4+C342+D342</f>
        <v>0.8650000000000001</v>
      </c>
      <c r="G342" s="56"/>
      <c r="H342" s="56">
        <f t="shared" ref="H342:H347" si="217">D342*C342*B342</f>
        <v>0.27459300000000003</v>
      </c>
      <c r="I342" s="56">
        <f t="shared" ref="I342:I347" si="218">B342*F342</f>
        <v>4.4815650000000007</v>
      </c>
      <c r="J342" s="63">
        <f t="shared" ref="J342:J345" si="219">(B342*0/6)*0.0231</f>
        <v>0</v>
      </c>
      <c r="K342" s="63">
        <f t="shared" ref="K342:K345" si="220">(B342*0/6)*0.0148</f>
        <v>0</v>
      </c>
      <c r="L342" s="63">
        <f>(B342*15/6)*0.009468</f>
        <v>0.12263427000000002</v>
      </c>
      <c r="M342" s="124">
        <f t="shared" si="214"/>
        <v>0</v>
      </c>
      <c r="N342" s="63"/>
      <c r="O342" s="62">
        <f>((B342/0.11*2*2.5)/6)*0.001332</f>
        <v>5.2281000000000001E-2</v>
      </c>
    </row>
    <row r="343" spans="1:16">
      <c r="A343" s="56" t="s">
        <v>306</v>
      </c>
      <c r="B343" s="48">
        <f>2.5</f>
        <v>2.5</v>
      </c>
      <c r="C343" s="56">
        <v>0.2</v>
      </c>
      <c r="D343" s="56">
        <f t="shared" ref="D343:D344" si="221">0.4-0.135</f>
        <v>0.26500000000000001</v>
      </c>
      <c r="E343" s="56"/>
      <c r="F343" s="56">
        <f t="shared" si="216"/>
        <v>0.8650000000000001</v>
      </c>
      <c r="G343" s="56"/>
      <c r="H343" s="56">
        <f t="shared" si="217"/>
        <v>0.13250000000000001</v>
      </c>
      <c r="I343" s="56">
        <f t="shared" si="218"/>
        <v>2.1625000000000001</v>
      </c>
      <c r="J343" s="63">
        <f t="shared" si="219"/>
        <v>0</v>
      </c>
      <c r="K343" s="63">
        <f t="shared" si="220"/>
        <v>0</v>
      </c>
      <c r="L343" s="63">
        <f>(B343*6/6)*0.009468</f>
        <v>2.3670000000000004E-2</v>
      </c>
      <c r="M343" s="124">
        <f>(B343*0)/6*0.00533</f>
        <v>0</v>
      </c>
      <c r="N343" s="63"/>
      <c r="O343" s="62">
        <f>((B343/0.15*2*2.5)/6)*0.001332</f>
        <v>1.8500000000000003E-2</v>
      </c>
    </row>
    <row r="344" spans="1:16">
      <c r="A344" s="56" t="s">
        <v>192</v>
      </c>
      <c r="B344" s="48"/>
      <c r="C344" s="56">
        <v>0.2</v>
      </c>
      <c r="D344" s="56">
        <f t="shared" si="221"/>
        <v>0.26500000000000001</v>
      </c>
      <c r="E344" s="56"/>
      <c r="F344" s="56">
        <f t="shared" si="216"/>
        <v>0.8650000000000001</v>
      </c>
      <c r="G344" s="56"/>
      <c r="H344" s="56">
        <f t="shared" si="217"/>
        <v>0</v>
      </c>
      <c r="I344" s="56">
        <f t="shared" si="218"/>
        <v>0</v>
      </c>
      <c r="J344" s="63">
        <f t="shared" si="219"/>
        <v>0</v>
      </c>
      <c r="K344" s="63">
        <f t="shared" si="220"/>
        <v>0</v>
      </c>
      <c r="L344" s="63">
        <f>(B344*9/6)*0.009468</f>
        <v>0</v>
      </c>
      <c r="M344" s="124">
        <f t="shared" ref="M344:M348" si="222">(B344*0)/6*0.00533</f>
        <v>0</v>
      </c>
      <c r="N344" s="63"/>
      <c r="O344" s="62">
        <f>((B344/0.15*1*2.5)/6)*0.001332</f>
        <v>0</v>
      </c>
    </row>
    <row r="345" spans="1:16">
      <c r="A345" s="56"/>
      <c r="B345" s="48"/>
      <c r="C345" s="56"/>
      <c r="D345" s="56"/>
      <c r="E345" s="56"/>
      <c r="F345" s="56"/>
      <c r="G345" s="56"/>
      <c r="H345" s="56">
        <f t="shared" si="217"/>
        <v>0</v>
      </c>
      <c r="I345" s="56">
        <f t="shared" si="218"/>
        <v>0</v>
      </c>
      <c r="J345" s="63">
        <f t="shared" si="219"/>
        <v>0</v>
      </c>
      <c r="K345" s="63">
        <f t="shared" si="220"/>
        <v>0</v>
      </c>
      <c r="L345" s="63">
        <f>(B345*12/6)*0.009468</f>
        <v>0</v>
      </c>
      <c r="M345" s="124">
        <f t="shared" si="222"/>
        <v>0</v>
      </c>
      <c r="N345" s="63"/>
      <c r="O345" s="62">
        <f>((B345/0.15*2*1.5)/6)*0.001332</f>
        <v>0</v>
      </c>
    </row>
    <row r="346" spans="1:16">
      <c r="A346" s="56"/>
      <c r="B346" s="48"/>
      <c r="C346" s="56"/>
      <c r="D346" s="56"/>
      <c r="E346" s="56"/>
      <c r="F346" s="56"/>
      <c r="G346" s="56"/>
      <c r="H346" s="56">
        <f t="shared" si="217"/>
        <v>0</v>
      </c>
      <c r="I346" s="56">
        <f t="shared" si="218"/>
        <v>0</v>
      </c>
      <c r="J346" s="63"/>
      <c r="K346" s="63"/>
      <c r="L346" s="63">
        <f>(B346*0/6)*0.009468</f>
        <v>0</v>
      </c>
      <c r="M346" s="124">
        <f t="shared" si="222"/>
        <v>0</v>
      </c>
      <c r="N346" s="63"/>
      <c r="O346" s="62">
        <f t="shared" ref="O346:O348" si="223">((B346/0.15*1*1.5)/6)*0.001332</f>
        <v>0</v>
      </c>
    </row>
    <row r="347" spans="1:16">
      <c r="A347" s="56"/>
      <c r="B347" s="48"/>
      <c r="C347" s="56"/>
      <c r="D347" s="56"/>
      <c r="E347" s="56"/>
      <c r="F347" s="56"/>
      <c r="G347" s="56"/>
      <c r="H347" s="56">
        <f t="shared" si="217"/>
        <v>0</v>
      </c>
      <c r="I347" s="56">
        <f t="shared" si="218"/>
        <v>0</v>
      </c>
      <c r="J347" s="63"/>
      <c r="K347" s="63"/>
      <c r="L347" s="63"/>
      <c r="M347" s="124">
        <f t="shared" si="222"/>
        <v>0</v>
      </c>
      <c r="N347" s="63"/>
      <c r="O347" s="62">
        <f t="shared" si="223"/>
        <v>0</v>
      </c>
    </row>
    <row r="348" spans="1:16">
      <c r="A348" s="56"/>
      <c r="B348" s="48"/>
      <c r="C348" s="56"/>
      <c r="D348" s="56"/>
      <c r="E348" s="56"/>
      <c r="F348" s="56"/>
      <c r="G348" s="56"/>
      <c r="H348" s="56"/>
      <c r="I348" s="56"/>
      <c r="J348" s="63"/>
      <c r="K348" s="63"/>
      <c r="L348" s="63"/>
      <c r="M348" s="124">
        <f t="shared" si="222"/>
        <v>0</v>
      </c>
      <c r="N348" s="63"/>
      <c r="O348" s="62">
        <f t="shared" si="223"/>
        <v>0</v>
      </c>
    </row>
    <row r="349" spans="1:16">
      <c r="A349" s="48"/>
      <c r="C349" s="89"/>
      <c r="D349" s="89"/>
      <c r="E349" s="89"/>
      <c r="F349" s="89"/>
      <c r="G349" s="89"/>
      <c r="H349" s="172">
        <f>SUM(H338:H348)</f>
        <v>0.40709300000000004</v>
      </c>
      <c r="I349" s="172">
        <f>SUM(I338:I348)</f>
        <v>6.6440650000000012</v>
      </c>
      <c r="J349" s="172"/>
      <c r="K349" s="172"/>
      <c r="L349" s="172">
        <f>SUM(L338:L348)</f>
        <v>0.14630427000000001</v>
      </c>
      <c r="M349" s="172">
        <f>SUM(M338:M348)</f>
        <v>0</v>
      </c>
      <c r="N349" s="173">
        <f>SUM(N338:N348)</f>
        <v>0</v>
      </c>
      <c r="O349" s="172">
        <f>SUM(O338:O348)</f>
        <v>7.0781000000000011E-2</v>
      </c>
    </row>
    <row r="350" spans="1:16">
      <c r="A350" s="49"/>
      <c r="B350" s="127">
        <v>10.489000000000001</v>
      </c>
      <c r="C350" s="80">
        <f>B350-(B404+C366)</f>
        <v>-10.971</v>
      </c>
      <c r="D350" s="56">
        <v>0.13500000000000001</v>
      </c>
      <c r="E350" s="56">
        <f>D350*C350</f>
        <v>-1.4810850000000002</v>
      </c>
      <c r="F350" s="56"/>
      <c r="G350" s="56"/>
      <c r="H350" s="68">
        <f>E350</f>
        <v>-1.4810850000000002</v>
      </c>
      <c r="I350" s="68">
        <f>(C350+C366+C367)-E347</f>
        <v>-10.971</v>
      </c>
      <c r="J350" s="68" t="s">
        <v>226</v>
      </c>
      <c r="K350" s="68"/>
      <c r="L350" s="68"/>
      <c r="M350" s="48"/>
      <c r="N350" s="83">
        <f>(J366*5.4)*0.003778</f>
        <v>-0.22382156520000002</v>
      </c>
      <c r="O350" s="56"/>
    </row>
    <row r="351" spans="1:16" ht="18">
      <c r="A351" s="480" t="s">
        <v>448</v>
      </c>
      <c r="B351" s="481"/>
      <c r="C351" s="481"/>
      <c r="D351" s="481"/>
      <c r="E351" s="481"/>
      <c r="F351" s="481"/>
      <c r="G351" s="481"/>
      <c r="H351" s="481"/>
      <c r="I351" s="481"/>
      <c r="J351" s="481"/>
      <c r="K351" s="481"/>
      <c r="L351" s="481"/>
      <c r="M351" s="481"/>
      <c r="N351" s="481"/>
      <c r="O351" s="482"/>
    </row>
    <row r="352" spans="1:16">
      <c r="A352" s="56"/>
      <c r="B352" s="126"/>
      <c r="C352" s="56"/>
      <c r="D352" s="65"/>
      <c r="E352" s="62"/>
      <c r="F352" s="56"/>
      <c r="G352" s="56"/>
      <c r="H352" s="56"/>
      <c r="I352" s="56"/>
      <c r="J352" s="61"/>
      <c r="K352" s="75"/>
      <c r="L352" s="63"/>
      <c r="M352" s="126"/>
      <c r="N352" s="56"/>
      <c r="O352" s="62"/>
    </row>
    <row r="353" spans="1:17">
      <c r="A353" s="56" t="s">
        <v>187</v>
      </c>
      <c r="B353" s="126">
        <v>2</v>
      </c>
      <c r="C353" s="56">
        <v>0.22500000000000001</v>
      </c>
      <c r="D353" s="56">
        <v>0.42499999999999999</v>
      </c>
      <c r="E353" s="62">
        <f>3-0.475</f>
        <v>2.5249999999999999</v>
      </c>
      <c r="F353" s="56"/>
      <c r="G353" s="56"/>
      <c r="H353" s="56">
        <f>E353*D353*C353*B353</f>
        <v>0.48290624999999998</v>
      </c>
      <c r="I353" s="56">
        <f>(C353+D353*2)*B353*E353</f>
        <v>5.42875</v>
      </c>
      <c r="J353" s="64">
        <f>(B353*0*3.5)/6</f>
        <v>0</v>
      </c>
      <c r="K353" s="64">
        <f>(B353*0*3.5)/6</f>
        <v>0</v>
      </c>
      <c r="L353" s="64">
        <f>(B353*10*3.75)/6</f>
        <v>12.5</v>
      </c>
      <c r="M353" s="64">
        <f>(B353*0*4.5)/6</f>
        <v>0</v>
      </c>
      <c r="N353" s="73"/>
      <c r="O353" s="56">
        <f>(E353/0.15*4*B353)/6</f>
        <v>22.444444444444443</v>
      </c>
      <c r="P353" s="54">
        <f>(0.3+0.24)*3</f>
        <v>1.62</v>
      </c>
      <c r="Q353" s="54">
        <f>0.22+0.22+0.35+0.2+0.35+0.25</f>
        <v>1.5899999999999999</v>
      </c>
    </row>
    <row r="354" spans="1:17">
      <c r="A354" s="56"/>
      <c r="B354" s="126"/>
      <c r="C354" s="56"/>
      <c r="D354" s="65"/>
      <c r="E354" s="62"/>
      <c r="F354" s="56"/>
      <c r="G354" s="56"/>
      <c r="H354" s="56">
        <f t="shared" ref="H354:H356" si="224">E354*D354*C354*B354</f>
        <v>0</v>
      </c>
      <c r="I354" s="56">
        <f t="shared" ref="I354:I356" si="225">(C354+D354*2)*B354*E354</f>
        <v>0</v>
      </c>
      <c r="J354" s="66">
        <f>J353*0.0231</f>
        <v>0</v>
      </c>
      <c r="K354" s="75">
        <f>K353*0.0148</f>
        <v>0</v>
      </c>
      <c r="L354" s="61">
        <f>L353*0.009468</f>
        <v>0.11835000000000001</v>
      </c>
      <c r="M354" s="61">
        <f>M353*0.00533</f>
        <v>0</v>
      </c>
      <c r="N354" s="56"/>
      <c r="O354" s="62">
        <f>O353*0.001332</f>
        <v>2.9895999999999999E-2</v>
      </c>
    </row>
    <row r="355" spans="1:17">
      <c r="A355" s="56" t="s">
        <v>188</v>
      </c>
      <c r="B355" s="126">
        <v>2</v>
      </c>
      <c r="C355" s="56">
        <v>0.2</v>
      </c>
      <c r="D355" s="65">
        <v>0.2</v>
      </c>
      <c r="E355" s="62">
        <f>3-0.475</f>
        <v>2.5249999999999999</v>
      </c>
      <c r="F355" s="56"/>
      <c r="G355" s="56"/>
      <c r="H355" s="56">
        <f t="shared" si="224"/>
        <v>0.20200000000000001</v>
      </c>
      <c r="I355" s="56">
        <f t="shared" si="225"/>
        <v>3.0300000000000002</v>
      </c>
      <c r="J355" s="64"/>
      <c r="K355" s="64">
        <f>(B355*0*3.5)/6</f>
        <v>0</v>
      </c>
      <c r="L355" s="64">
        <f>(B355*0*3.5)/6</f>
        <v>0</v>
      </c>
      <c r="M355" s="64">
        <f>(B355*4*4.5)/6</f>
        <v>6</v>
      </c>
      <c r="N355" s="56"/>
      <c r="O355" s="56">
        <f>(E355/0.15*1.8*B355)/6</f>
        <v>10.1</v>
      </c>
      <c r="Q355" s="54">
        <f>0.37+0.37+0.37+0.1</f>
        <v>1.21</v>
      </c>
    </row>
    <row r="356" spans="1:17">
      <c r="B356" s="126"/>
      <c r="C356" s="56"/>
      <c r="D356" s="65"/>
      <c r="E356" s="62"/>
      <c r="F356" s="56"/>
      <c r="G356" s="56"/>
      <c r="H356" s="56">
        <f t="shared" si="224"/>
        <v>0</v>
      </c>
      <c r="I356" s="56">
        <f t="shared" si="225"/>
        <v>0</v>
      </c>
      <c r="J356" s="64"/>
      <c r="K356" s="75">
        <f>K355*0.0148</f>
        <v>0</v>
      </c>
      <c r="L356" s="61">
        <f>L355*0.009468</f>
        <v>0</v>
      </c>
      <c r="M356" s="61">
        <f>M355*0.00533</f>
        <v>3.1979999999999995E-2</v>
      </c>
      <c r="N356" s="56"/>
      <c r="O356" s="62">
        <f>O355*0.001332</f>
        <v>1.34532E-2</v>
      </c>
      <c r="Q356" s="54">
        <f>0.4+0.35</f>
        <v>0.75</v>
      </c>
    </row>
    <row r="357" spans="1:17">
      <c r="A357" s="56"/>
      <c r="B357" s="126"/>
      <c r="C357" s="56"/>
      <c r="D357" s="65"/>
      <c r="E357" s="62"/>
      <c r="F357" s="56"/>
      <c r="G357" s="56"/>
      <c r="H357" s="56"/>
      <c r="I357" s="56"/>
      <c r="J357" s="61"/>
      <c r="K357" s="64"/>
      <c r="L357" s="64"/>
      <c r="M357" s="64"/>
      <c r="N357" s="56"/>
      <c r="O357" s="56"/>
    </row>
    <row r="358" spans="1:17">
      <c r="A358" s="56"/>
      <c r="B358" s="126"/>
      <c r="C358" s="56"/>
      <c r="D358" s="65"/>
      <c r="E358" s="62"/>
      <c r="F358" s="56"/>
      <c r="G358" s="56"/>
      <c r="H358" s="56"/>
      <c r="I358" s="56"/>
      <c r="J358" s="64"/>
      <c r="K358" s="75"/>
      <c r="L358" s="61"/>
      <c r="M358" s="61"/>
      <c r="N358" s="56"/>
      <c r="O358" s="62"/>
      <c r="Q358" s="64"/>
    </row>
    <row r="359" spans="1:17">
      <c r="A359" s="48"/>
      <c r="B359" s="126"/>
      <c r="C359" s="56"/>
      <c r="D359" s="65"/>
      <c r="E359" s="62"/>
      <c r="F359" s="56"/>
      <c r="G359" s="56"/>
      <c r="H359" s="56"/>
      <c r="I359" s="56"/>
      <c r="J359" s="61"/>
      <c r="K359" s="64"/>
      <c r="L359" s="64"/>
      <c r="M359" s="126"/>
      <c r="N359" s="56"/>
      <c r="O359" s="56"/>
      <c r="Q359" s="65"/>
    </row>
    <row r="360" spans="1:17">
      <c r="B360" s="126"/>
      <c r="C360" s="56"/>
      <c r="D360" s="65"/>
      <c r="E360" s="62"/>
      <c r="F360" s="56"/>
      <c r="G360" s="56"/>
      <c r="H360" s="56"/>
      <c r="I360" s="56"/>
      <c r="J360" s="64"/>
      <c r="K360" s="75"/>
      <c r="L360" s="61"/>
      <c r="M360" s="126"/>
      <c r="N360" s="56"/>
      <c r="O360" s="62"/>
    </row>
    <row r="361" spans="1:17">
      <c r="A361" s="48"/>
      <c r="B361" s="126"/>
      <c r="C361" s="56"/>
      <c r="D361" s="65"/>
      <c r="E361" s="62"/>
      <c r="F361" s="56"/>
      <c r="G361" s="56"/>
      <c r="H361" s="56"/>
      <c r="I361" s="56"/>
      <c r="J361" s="64"/>
      <c r="K361" s="71"/>
      <c r="L361" s="72"/>
      <c r="M361" s="126"/>
      <c r="N361" s="56"/>
      <c r="O361" s="56"/>
    </row>
    <row r="362" spans="1:17">
      <c r="B362" s="126"/>
      <c r="C362" s="56"/>
      <c r="D362" s="65"/>
      <c r="E362" s="62"/>
      <c r="F362" s="56"/>
      <c r="G362" s="56"/>
      <c r="H362" s="56"/>
      <c r="I362" s="56"/>
      <c r="J362" s="64"/>
      <c r="K362" s="64"/>
      <c r="M362" s="126"/>
      <c r="N362" s="56"/>
      <c r="O362" s="56"/>
      <c r="Q362" s="65"/>
    </row>
    <row r="363" spans="1:17">
      <c r="B363" s="126"/>
      <c r="C363" s="56"/>
      <c r="D363" s="65"/>
      <c r="E363" s="62"/>
      <c r="F363" s="56"/>
      <c r="G363" s="56"/>
      <c r="H363" s="185">
        <f>SUM(H352:H362)</f>
        <v>0.68490625000000005</v>
      </c>
      <c r="I363" s="185">
        <f t="shared" ref="I363:J363" si="226">SUM(I352:I362)</f>
        <v>8.4587500000000002</v>
      </c>
      <c r="J363" s="56">
        <f t="shared" si="226"/>
        <v>0</v>
      </c>
      <c r="K363" s="185">
        <f>K359+K357+K355+K353</f>
        <v>0</v>
      </c>
      <c r="L363" s="185">
        <f>L356+L354</f>
        <v>0.11835000000000001</v>
      </c>
      <c r="M363" s="185">
        <f t="shared" ref="M363:O363" si="227">M356+M354</f>
        <v>3.1979999999999995E-2</v>
      </c>
      <c r="N363" s="185">
        <f t="shared" si="227"/>
        <v>0</v>
      </c>
      <c r="O363" s="185">
        <f t="shared" si="227"/>
        <v>4.3349199999999997E-2</v>
      </c>
    </row>
    <row r="364" spans="1:17">
      <c r="A364" s="56" t="s">
        <v>285</v>
      </c>
      <c r="B364" s="126">
        <f>1.7+1.7+1.75+1.75</f>
        <v>6.9</v>
      </c>
      <c r="C364" s="56">
        <v>0.15</v>
      </c>
      <c r="D364" s="65">
        <v>1</v>
      </c>
      <c r="E364" s="62">
        <f>3.4-0.15</f>
        <v>3.25</v>
      </c>
      <c r="F364" s="56"/>
      <c r="G364" s="56"/>
      <c r="H364" s="48">
        <f>E364*D364*C364*B364</f>
        <v>3.36375</v>
      </c>
      <c r="I364" s="48">
        <f>B364*E364*2</f>
        <v>44.85</v>
      </c>
      <c r="J364" s="126"/>
      <c r="K364" s="154"/>
      <c r="L364" s="155"/>
      <c r="M364" s="124">
        <f>(B364*E364*3)*0.00533</f>
        <v>0.35857575000000003</v>
      </c>
      <c r="N364" s="124">
        <f>(B364*E364)*3.25*0.0038</f>
        <v>0.27694875000000002</v>
      </c>
      <c r="O364" s="56"/>
      <c r="Q364" s="65"/>
    </row>
    <row r="365" spans="1:17">
      <c r="A365" s="56"/>
      <c r="B365" s="126"/>
      <c r="C365" s="56"/>
      <c r="D365" s="65"/>
      <c r="E365" s="56"/>
      <c r="F365" s="56"/>
      <c r="G365" s="56"/>
      <c r="H365" s="166">
        <f>SUM(H364)</f>
        <v>3.36375</v>
      </c>
      <c r="I365" s="166">
        <f t="shared" ref="I365:N365" si="228">SUM(I364)</f>
        <v>44.85</v>
      </c>
      <c r="J365" s="166">
        <f t="shared" si="228"/>
        <v>0</v>
      </c>
      <c r="K365" s="166">
        <f t="shared" si="228"/>
        <v>0</v>
      </c>
      <c r="L365" s="166">
        <f t="shared" si="228"/>
        <v>0</v>
      </c>
      <c r="M365" s="166">
        <f t="shared" si="228"/>
        <v>0.35857575000000003</v>
      </c>
      <c r="N365" s="166">
        <f t="shared" si="228"/>
        <v>0.27694875000000002</v>
      </c>
      <c r="O365" s="62"/>
    </row>
    <row r="366" spans="1:17">
      <c r="B366" s="128" t="s">
        <v>194</v>
      </c>
      <c r="C366" s="49"/>
      <c r="D366" s="54">
        <v>0.15</v>
      </c>
      <c r="E366" s="56">
        <f>D366*C366</f>
        <v>0</v>
      </c>
      <c r="F366" s="99"/>
      <c r="G366" s="56"/>
      <c r="H366" s="68">
        <f>E366</f>
        <v>0</v>
      </c>
      <c r="I366" s="68"/>
      <c r="J366" s="68">
        <f>C350+C366</f>
        <v>-10.971</v>
      </c>
      <c r="K366" s="81"/>
      <c r="L366" s="81"/>
      <c r="M366" s="48"/>
      <c r="N366" s="83"/>
      <c r="O366" s="56"/>
    </row>
    <row r="367" spans="1:17">
      <c r="A367" s="49"/>
      <c r="B367" s="247"/>
      <c r="C367" s="49"/>
      <c r="E367" s="56"/>
      <c r="F367" s="99"/>
      <c r="G367" s="56"/>
      <c r="H367" s="99"/>
      <c r="I367" s="68"/>
      <c r="J367" s="81"/>
      <c r="K367" s="81"/>
      <c r="L367" s="81"/>
      <c r="M367" s="125"/>
      <c r="N367" s="84"/>
      <c r="O367" s="80"/>
    </row>
    <row r="368" spans="1:17">
      <c r="A368" s="246">
        <f>B350/0.092</f>
        <v>114.0108695652174</v>
      </c>
      <c r="B368" s="128"/>
      <c r="C368" s="80"/>
      <c r="D368" s="56"/>
      <c r="E368" s="56"/>
      <c r="F368" s="56"/>
      <c r="G368" s="56"/>
      <c r="H368" s="68">
        <f>D368*C368*E368</f>
        <v>0</v>
      </c>
      <c r="I368" s="68">
        <f>C368*D368</f>
        <v>0</v>
      </c>
      <c r="J368" s="81"/>
      <c r="K368" s="81"/>
      <c r="L368" s="81"/>
      <c r="M368" s="125"/>
      <c r="N368" s="84"/>
      <c r="O368" s="80"/>
    </row>
    <row r="369" spans="1:16">
      <c r="A369" s="247"/>
      <c r="B369" s="128"/>
      <c r="C369" s="80"/>
      <c r="D369" s="56"/>
      <c r="E369" s="56"/>
      <c r="F369" s="56"/>
      <c r="G369" s="56"/>
      <c r="H369" s="68">
        <f>D369*C369*E369</f>
        <v>0</v>
      </c>
      <c r="I369" s="68">
        <f>C369*D369</f>
        <v>0</v>
      </c>
      <c r="J369" s="81"/>
      <c r="K369" s="81"/>
      <c r="L369" s="81"/>
      <c r="M369" s="125"/>
      <c r="N369" s="84"/>
      <c r="O369" s="80"/>
    </row>
    <row r="370" spans="1:16">
      <c r="A370" s="56" t="s">
        <v>190</v>
      </c>
      <c r="B370" s="126"/>
      <c r="C370" s="56">
        <v>0.2</v>
      </c>
      <c r="D370" s="56">
        <f>0.475-0.135</f>
        <v>0.33999999999999997</v>
      </c>
      <c r="E370" s="56"/>
      <c r="F370" s="56">
        <f>0.4+C370+D370</f>
        <v>0.94000000000000006</v>
      </c>
      <c r="G370" s="56"/>
      <c r="H370" s="56">
        <f>D370*C370*B370</f>
        <v>0</v>
      </c>
      <c r="I370" s="56">
        <f>B370*F370</f>
        <v>0</v>
      </c>
      <c r="J370" s="63">
        <f>(B370*0/6)*0.0231</f>
        <v>0</v>
      </c>
      <c r="K370" s="63">
        <f>(B370*9/6)*0.0148</f>
        <v>0</v>
      </c>
      <c r="L370" s="63">
        <f>(B370*9/6)*0.009468</f>
        <v>0</v>
      </c>
      <c r="M370" s="124">
        <f t="shared" ref="M370:M372" si="229">(B370*0)/6*0.00533</f>
        <v>0</v>
      </c>
      <c r="N370" s="63"/>
      <c r="O370" s="62">
        <f>((B370/0.11*2*3)/6)*0.001332</f>
        <v>0</v>
      </c>
      <c r="P370" s="54">
        <f>0.35+0.35+0.24+0.1</f>
        <v>1.04</v>
      </c>
    </row>
    <row r="371" spans="1:16">
      <c r="A371" s="48" t="s">
        <v>446</v>
      </c>
      <c r="B371" s="126"/>
      <c r="C371" s="56">
        <v>0.2</v>
      </c>
      <c r="D371" s="56">
        <f t="shared" ref="D371" si="230">0.475-0.135</f>
        <v>0.33999999999999997</v>
      </c>
      <c r="E371" s="56"/>
      <c r="F371" s="56">
        <f>0.4+C371+D371</f>
        <v>0.94000000000000006</v>
      </c>
      <c r="G371" s="56"/>
      <c r="H371" s="56">
        <f>D371*C371*B371</f>
        <v>0</v>
      </c>
      <c r="I371" s="56">
        <f>B371*F371</f>
        <v>0</v>
      </c>
      <c r="J371" s="63">
        <f>(B371*0/6)*0.0231</f>
        <v>0</v>
      </c>
      <c r="K371" s="63">
        <f>(B371*15/6)*0.0148</f>
        <v>0</v>
      </c>
      <c r="L371" s="63">
        <f>(B371*12/6)*0.009468</f>
        <v>0</v>
      </c>
      <c r="M371" s="124">
        <f t="shared" si="229"/>
        <v>0</v>
      </c>
      <c r="N371" s="63"/>
      <c r="O371" s="62">
        <f>((B371/0.15*2*2)/6)*0.001332</f>
        <v>0</v>
      </c>
      <c r="P371" s="54">
        <f>0.35+0.35+0.24+0.1</f>
        <v>1.04</v>
      </c>
    </row>
    <row r="372" spans="1:16">
      <c r="A372" s="56" t="s">
        <v>191</v>
      </c>
      <c r="B372" s="48"/>
      <c r="C372" s="56">
        <v>0.2</v>
      </c>
      <c r="D372" s="56">
        <f>0.4-0.135</f>
        <v>0.26500000000000001</v>
      </c>
      <c r="E372" s="56"/>
      <c r="F372" s="56">
        <f t="shared" ref="F372:F374" si="231">0.4+C372+D372</f>
        <v>0.8650000000000001</v>
      </c>
      <c r="G372" s="56"/>
      <c r="H372" s="56">
        <f t="shared" ref="H372:H377" si="232">D372*C372*B372</f>
        <v>0</v>
      </c>
      <c r="I372" s="56">
        <f t="shared" ref="I372:I377" si="233">B372*F372</f>
        <v>0</v>
      </c>
      <c r="J372" s="63">
        <f t="shared" ref="J372:J375" si="234">(B372*0/6)*0.0231</f>
        <v>0</v>
      </c>
      <c r="K372" s="63">
        <f t="shared" ref="K372:K375" si="235">(B372*0/6)*0.0148</f>
        <v>0</v>
      </c>
      <c r="L372" s="63">
        <f>(B372*15/6)*0.009468</f>
        <v>0</v>
      </c>
      <c r="M372" s="124">
        <f t="shared" si="229"/>
        <v>0</v>
      </c>
      <c r="N372" s="63"/>
      <c r="O372" s="62">
        <f>((B372/0.11*2*2.5)/6)*0.001332</f>
        <v>0</v>
      </c>
    </row>
    <row r="373" spans="1:16">
      <c r="A373" s="56" t="s">
        <v>306</v>
      </c>
      <c r="B373" s="48">
        <f>6.354+6.354+0.5</f>
        <v>13.208</v>
      </c>
      <c r="C373" s="56">
        <v>0.2</v>
      </c>
      <c r="D373" s="56">
        <f t="shared" ref="D373:D374" si="236">0.4-0.135</f>
        <v>0.26500000000000001</v>
      </c>
      <c r="E373" s="56"/>
      <c r="F373" s="56">
        <f t="shared" si="231"/>
        <v>0.8650000000000001</v>
      </c>
      <c r="G373" s="56"/>
      <c r="H373" s="56">
        <f t="shared" si="232"/>
        <v>0.70002400000000009</v>
      </c>
      <c r="I373" s="56">
        <f t="shared" si="233"/>
        <v>11.424920000000002</v>
      </c>
      <c r="J373" s="63">
        <f t="shared" si="234"/>
        <v>0</v>
      </c>
      <c r="K373" s="63">
        <f t="shared" si="235"/>
        <v>0</v>
      </c>
      <c r="L373" s="63">
        <f>(B373*6/6)*0.009468</f>
        <v>0.12505334400000001</v>
      </c>
      <c r="M373" s="124">
        <f>(B373*0)/6*0.00533</f>
        <v>0</v>
      </c>
      <c r="N373" s="63"/>
      <c r="O373" s="62">
        <f>((B373/0.15*2*2.5)/6)*0.001332</f>
        <v>9.7739200000000012E-2</v>
      </c>
    </row>
    <row r="374" spans="1:16">
      <c r="A374" s="56" t="s">
        <v>192</v>
      </c>
      <c r="B374" s="48">
        <v>2.5</v>
      </c>
      <c r="C374" s="56">
        <v>0.2</v>
      </c>
      <c r="D374" s="56">
        <f t="shared" si="236"/>
        <v>0.26500000000000001</v>
      </c>
      <c r="E374" s="56"/>
      <c r="F374" s="56">
        <f t="shared" si="231"/>
        <v>0.8650000000000001</v>
      </c>
      <c r="G374" s="56"/>
      <c r="H374" s="56">
        <f t="shared" si="232"/>
        <v>0.13250000000000001</v>
      </c>
      <c r="I374" s="56">
        <f t="shared" si="233"/>
        <v>2.1625000000000001</v>
      </c>
      <c r="J374" s="63">
        <f t="shared" si="234"/>
        <v>0</v>
      </c>
      <c r="K374" s="63">
        <f t="shared" si="235"/>
        <v>0</v>
      </c>
      <c r="L374" s="63">
        <f>(B374*9/6)*0.009468</f>
        <v>3.5505000000000002E-2</v>
      </c>
      <c r="M374" s="124">
        <f t="shared" ref="M374:M378" si="237">(B374*0)/6*0.00533</f>
        <v>0</v>
      </c>
      <c r="N374" s="63"/>
      <c r="O374" s="62">
        <f>((B374/0.15*1*2.5)/6)*0.001332</f>
        <v>9.2500000000000013E-3</v>
      </c>
    </row>
    <row r="375" spans="1:16">
      <c r="A375" s="56"/>
      <c r="B375" s="48"/>
      <c r="C375" s="56"/>
      <c r="D375" s="56"/>
      <c r="E375" s="56"/>
      <c r="F375" s="56"/>
      <c r="G375" s="56"/>
      <c r="H375" s="56">
        <f t="shared" si="232"/>
        <v>0</v>
      </c>
      <c r="I375" s="56">
        <f t="shared" si="233"/>
        <v>0</v>
      </c>
      <c r="J375" s="63">
        <f t="shared" si="234"/>
        <v>0</v>
      </c>
      <c r="K375" s="63">
        <f t="shared" si="235"/>
        <v>0</v>
      </c>
      <c r="L375" s="63">
        <f>(B375*12/6)*0.009468</f>
        <v>0</v>
      </c>
      <c r="M375" s="124">
        <f t="shared" si="237"/>
        <v>0</v>
      </c>
      <c r="N375" s="63"/>
      <c r="O375" s="62">
        <f>((B375/0.15*2*1.5)/6)*0.001332</f>
        <v>0</v>
      </c>
    </row>
    <row r="376" spans="1:16">
      <c r="A376" s="56"/>
      <c r="B376" s="48"/>
      <c r="C376" s="56"/>
      <c r="D376" s="56"/>
      <c r="E376" s="56"/>
      <c r="F376" s="56"/>
      <c r="G376" s="56"/>
      <c r="H376" s="56">
        <f t="shared" si="232"/>
        <v>0</v>
      </c>
      <c r="I376" s="56">
        <f t="shared" si="233"/>
        <v>0</v>
      </c>
      <c r="J376" s="63"/>
      <c r="K376" s="63"/>
      <c r="L376" s="63">
        <f>(B376*0/6)*0.009468</f>
        <v>0</v>
      </c>
      <c r="M376" s="124">
        <f t="shared" si="237"/>
        <v>0</v>
      </c>
      <c r="N376" s="63"/>
      <c r="O376" s="62">
        <f t="shared" ref="O376:O378" si="238">((B376/0.15*1*1.5)/6)*0.001332</f>
        <v>0</v>
      </c>
    </row>
    <row r="377" spans="1:16">
      <c r="A377" s="56"/>
      <c r="B377" s="48"/>
      <c r="C377" s="56"/>
      <c r="D377" s="56"/>
      <c r="E377" s="56"/>
      <c r="F377" s="56"/>
      <c r="G377" s="56"/>
      <c r="H377" s="56">
        <f t="shared" si="232"/>
        <v>0</v>
      </c>
      <c r="I377" s="56">
        <f t="shared" si="233"/>
        <v>0</v>
      </c>
      <c r="J377" s="63"/>
      <c r="K377" s="63"/>
      <c r="L377" s="63"/>
      <c r="M377" s="124">
        <f t="shared" si="237"/>
        <v>0</v>
      </c>
      <c r="N377" s="63"/>
      <c r="O377" s="62">
        <f t="shared" si="238"/>
        <v>0</v>
      </c>
    </row>
    <row r="378" spans="1:16">
      <c r="A378" s="56"/>
      <c r="B378" s="48"/>
      <c r="C378" s="56"/>
      <c r="D378" s="56"/>
      <c r="E378" s="56"/>
      <c r="F378" s="56"/>
      <c r="G378" s="56"/>
      <c r="H378" s="56"/>
      <c r="I378" s="56"/>
      <c r="J378" s="63"/>
      <c r="K378" s="63"/>
      <c r="L378" s="63"/>
      <c r="M378" s="124">
        <f t="shared" si="237"/>
        <v>0</v>
      </c>
      <c r="N378" s="63"/>
      <c r="O378" s="62">
        <f t="shared" si="238"/>
        <v>0</v>
      </c>
    </row>
    <row r="379" spans="1:16">
      <c r="A379" s="48"/>
      <c r="C379" s="89"/>
      <c r="D379" s="89"/>
      <c r="E379" s="89"/>
      <c r="F379" s="89"/>
      <c r="G379" s="89"/>
      <c r="H379" s="172">
        <f>SUM(H368:H378)</f>
        <v>0.83252400000000004</v>
      </c>
      <c r="I379" s="172">
        <f>SUM(I368:I378)</f>
        <v>13.587420000000002</v>
      </c>
      <c r="J379" s="172"/>
      <c r="K379" s="172"/>
      <c r="L379" s="172">
        <f>SUM(L368:L378)</f>
        <v>0.16055834400000002</v>
      </c>
      <c r="M379" s="172">
        <f>SUM(M368:M378)</f>
        <v>0</v>
      </c>
      <c r="N379" s="173">
        <f>SUM(N368:N378)</f>
        <v>0</v>
      </c>
      <c r="O379" s="172">
        <f>SUM(O368:O378)</f>
        <v>0.10698920000000001</v>
      </c>
    </row>
    <row r="380" spans="1:16">
      <c r="A380" s="49"/>
      <c r="B380" s="127">
        <v>21.707000000000001</v>
      </c>
      <c r="C380" s="80">
        <f>B380-(B419+C381)</f>
        <v>21.707000000000001</v>
      </c>
      <c r="D380" s="56">
        <v>0.13500000000000001</v>
      </c>
      <c r="E380" s="56">
        <f>D380*C380</f>
        <v>2.9304450000000002</v>
      </c>
      <c r="F380" s="56"/>
      <c r="G380" s="56"/>
      <c r="H380" s="68">
        <f>E380</f>
        <v>2.9304450000000002</v>
      </c>
      <c r="I380" s="68">
        <f>(C380+C381+C382)-E377</f>
        <v>21.707000000000001</v>
      </c>
      <c r="J380" s="68" t="s">
        <v>226</v>
      </c>
      <c r="K380" s="68"/>
      <c r="L380" s="68"/>
      <c r="M380" s="48"/>
      <c r="N380" s="83">
        <f>(J381*5.4)*0.003778</f>
        <v>0.44284884840000005</v>
      </c>
      <c r="O380" s="56"/>
    </row>
    <row r="381" spans="1:16">
      <c r="B381" s="128" t="s">
        <v>194</v>
      </c>
      <c r="C381" s="49"/>
      <c r="D381" s="54">
        <v>0.15</v>
      </c>
      <c r="E381" s="56">
        <f>D381*C381</f>
        <v>0</v>
      </c>
      <c r="F381" s="99"/>
      <c r="G381" s="56"/>
      <c r="H381" s="68">
        <f>E381</f>
        <v>0</v>
      </c>
      <c r="I381" s="68"/>
      <c r="J381" s="68">
        <f>C380+C381</f>
        <v>21.707000000000001</v>
      </c>
      <c r="K381" s="81"/>
      <c r="L381" s="81"/>
      <c r="M381" s="48"/>
      <c r="N381" s="83"/>
      <c r="O381" s="56"/>
    </row>
    <row r="382" spans="1:16">
      <c r="A382" s="49"/>
      <c r="B382" s="247"/>
      <c r="C382" s="49"/>
      <c r="E382" s="56"/>
      <c r="F382" s="99"/>
      <c r="G382" s="56"/>
      <c r="H382" s="99"/>
      <c r="I382" s="68"/>
      <c r="J382" s="81"/>
      <c r="K382" s="81"/>
      <c r="L382" s="81"/>
      <c r="M382" s="125"/>
      <c r="N382" s="84"/>
      <c r="O382" s="80"/>
    </row>
    <row r="383" spans="1:16">
      <c r="A383" s="246">
        <f>B380/0.092</f>
        <v>235.94565217391306</v>
      </c>
      <c r="B383" s="128"/>
      <c r="C383" s="80"/>
      <c r="D383" s="56"/>
      <c r="E383" s="56"/>
      <c r="F383" s="56"/>
      <c r="G383" s="56"/>
      <c r="H383" s="68">
        <f>D383*C383*E383</f>
        <v>0</v>
      </c>
      <c r="I383" s="68">
        <f>C383*D383</f>
        <v>0</v>
      </c>
      <c r="J383" s="81"/>
      <c r="K383" s="81"/>
      <c r="L383" s="81"/>
      <c r="M383" s="125"/>
      <c r="N383" s="84"/>
      <c r="O383" s="80"/>
    </row>
    <row r="384" spans="1:16">
      <c r="A384" s="247"/>
      <c r="B384" s="128"/>
      <c r="C384" s="80"/>
      <c r="D384" s="56"/>
      <c r="E384" s="56"/>
      <c r="F384" s="56"/>
      <c r="G384" s="56"/>
      <c r="H384" s="68">
        <f>D384*C384*E384</f>
        <v>0</v>
      </c>
      <c r="I384" s="68">
        <f>C384*D384</f>
        <v>0</v>
      </c>
      <c r="J384" s="81"/>
      <c r="K384" s="81"/>
      <c r="L384" s="81"/>
      <c r="M384" s="125"/>
      <c r="N384" s="84"/>
      <c r="O384" s="80"/>
    </row>
    <row r="385" spans="1:19">
      <c r="A385" s="48"/>
      <c r="C385" s="89"/>
      <c r="D385" s="89"/>
      <c r="E385" s="89"/>
      <c r="F385" s="89"/>
      <c r="G385" s="89"/>
      <c r="H385" s="70"/>
      <c r="I385" s="70"/>
      <c r="J385" s="70"/>
      <c r="K385" s="70"/>
      <c r="L385" s="70"/>
      <c r="M385" s="160"/>
      <c r="N385" s="90"/>
      <c r="O385" s="164"/>
    </row>
    <row r="386" spans="1:19">
      <c r="A386" s="91" t="s">
        <v>251</v>
      </c>
      <c r="C386" s="89">
        <f>8.667+1.732</f>
        <v>10.398999999999999</v>
      </c>
      <c r="D386" s="89">
        <v>0.15</v>
      </c>
      <c r="E386" s="89">
        <v>1</v>
      </c>
      <c r="F386" s="89"/>
      <c r="G386" s="89"/>
      <c r="H386" s="70">
        <f>E386*D386*C386</f>
        <v>1.5598499999999997</v>
      </c>
      <c r="I386" s="70">
        <f>C386*E386*2</f>
        <v>20.797999999999998</v>
      </c>
      <c r="J386" s="70"/>
      <c r="K386" s="70"/>
      <c r="L386" s="170">
        <f>(C386*6.25/6)*0.009468</f>
        <v>0.1025601375</v>
      </c>
      <c r="M386" s="70"/>
      <c r="N386" s="90">
        <f>(C386*E386)*3*0.003778</f>
        <v>0.11786226599999999</v>
      </c>
      <c r="O386" s="164">
        <f>((C386/0.15*1.15)/6)*0.001332</f>
        <v>1.7699098E-2</v>
      </c>
    </row>
    <row r="387" spans="1:19">
      <c r="A387" s="49"/>
      <c r="C387" s="126">
        <f>B408</f>
        <v>0</v>
      </c>
      <c r="D387" s="56">
        <v>2</v>
      </c>
      <c r="E387" s="89">
        <v>0.1</v>
      </c>
      <c r="F387" s="89"/>
      <c r="G387" s="89"/>
      <c r="H387" s="70">
        <f>E387*D387*C387</f>
        <v>0</v>
      </c>
      <c r="I387" s="70">
        <f>C387*E387*2</f>
        <v>0</v>
      </c>
      <c r="J387" s="70"/>
      <c r="K387" s="70"/>
      <c r="L387" s="70"/>
      <c r="M387" s="160"/>
      <c r="N387" s="90">
        <f>(C387*D387)*3*0.003778</f>
        <v>0</v>
      </c>
      <c r="O387" s="164"/>
    </row>
    <row r="388" spans="1:19">
      <c r="A388" s="49"/>
      <c r="C388" s="89"/>
      <c r="D388" s="89"/>
      <c r="E388" s="89"/>
      <c r="F388" s="89"/>
      <c r="G388" s="89"/>
      <c r="H388" s="70"/>
      <c r="I388" s="70"/>
      <c r="J388" s="70"/>
      <c r="K388" s="70"/>
      <c r="L388" s="70"/>
      <c r="M388" s="70"/>
      <c r="N388" s="90"/>
      <c r="O388" s="56"/>
    </row>
    <row r="389" spans="1:19">
      <c r="A389" s="49"/>
      <c r="C389" s="89"/>
      <c r="D389" s="89"/>
      <c r="E389" s="89"/>
      <c r="F389" s="89"/>
      <c r="G389" s="89"/>
      <c r="H389" s="172">
        <f>SUM(H386:H388)</f>
        <v>1.5598499999999997</v>
      </c>
      <c r="I389" s="172">
        <f>SUM(I386:I388)</f>
        <v>20.797999999999998</v>
      </c>
      <c r="J389" s="172"/>
      <c r="K389" s="172"/>
      <c r="L389" s="172">
        <f>SUM(L386:L388)</f>
        <v>0.1025601375</v>
      </c>
      <c r="M389" s="172">
        <f>SUM(M386:M388)</f>
        <v>0</v>
      </c>
      <c r="N389" s="173">
        <f>SUM(N386:N388)</f>
        <v>0.11786226599999999</v>
      </c>
      <c r="O389" s="172">
        <f>SUM(O386:O388)</f>
        <v>1.7699098E-2</v>
      </c>
    </row>
    <row r="390" spans="1:19" s="88" customFormat="1">
      <c r="A390" s="87"/>
      <c r="B390" s="95"/>
      <c r="C390" s="127"/>
      <c r="D390" s="89"/>
      <c r="E390" s="89"/>
      <c r="F390" s="89"/>
      <c r="G390" s="89"/>
      <c r="H390" s="70"/>
      <c r="I390" s="70"/>
      <c r="J390" s="70"/>
      <c r="K390" s="70"/>
      <c r="L390" s="70"/>
      <c r="M390" s="70"/>
      <c r="N390" s="90"/>
      <c r="O390" s="92"/>
    </row>
    <row r="391" spans="1:19" s="88" customFormat="1" ht="18">
      <c r="A391" s="87">
        <f>12*12*8.5*0.092</f>
        <v>112.608</v>
      </c>
      <c r="B391" s="95"/>
      <c r="C391" s="127"/>
      <c r="D391" s="89"/>
      <c r="E391" s="491" t="s">
        <v>228</v>
      </c>
      <c r="F391" s="491"/>
      <c r="G391" s="491"/>
      <c r="H391" s="491"/>
      <c r="I391" s="491"/>
      <c r="J391" s="491"/>
      <c r="K391" s="491"/>
      <c r="L391" s="491"/>
      <c r="M391" s="491"/>
      <c r="N391" s="491"/>
      <c r="O391" s="492"/>
    </row>
    <row r="392" spans="1:19" s="88" customFormat="1">
      <c r="A392" s="87">
        <f>12*4*8.5*0.304</f>
        <v>124.032</v>
      </c>
      <c r="B392" s="95"/>
      <c r="C392" s="127"/>
      <c r="D392" s="89"/>
      <c r="E392" s="89"/>
      <c r="F392" s="89"/>
      <c r="G392" s="89"/>
      <c r="H392" s="70">
        <f>136.67-135.05</f>
        <v>1.6199999999999761</v>
      </c>
      <c r="I392" s="70">
        <f>136.67-H392</f>
        <v>135.05000000000001</v>
      </c>
      <c r="J392" s="70"/>
      <c r="K392" s="70"/>
      <c r="L392" s="70"/>
      <c r="M392" s="70"/>
      <c r="N392" s="90"/>
      <c r="O392" s="92"/>
    </row>
    <row r="393" spans="1:19" ht="36.75" customHeight="1">
      <c r="A393" s="56" t="s">
        <v>197</v>
      </c>
      <c r="B393" s="126"/>
      <c r="C393" s="93"/>
      <c r="D393" s="62"/>
      <c r="E393" s="56"/>
      <c r="F393" s="56" t="s">
        <v>198</v>
      </c>
      <c r="G393" s="56" t="s">
        <v>199</v>
      </c>
      <c r="H393" s="56" t="s">
        <v>200</v>
      </c>
      <c r="I393" s="94" t="s">
        <v>201</v>
      </c>
      <c r="J393" s="56"/>
      <c r="K393" s="56"/>
      <c r="L393" s="94" t="s">
        <v>202</v>
      </c>
      <c r="M393" s="486" t="s">
        <v>203</v>
      </c>
      <c r="N393" s="487"/>
      <c r="O393" s="56"/>
    </row>
    <row r="394" spans="1:19">
      <c r="A394" s="54" t="s">
        <v>204</v>
      </c>
      <c r="B394" s="126">
        <f>40.893+40.893+8.23+8.23</f>
        <v>98.246000000000009</v>
      </c>
      <c r="C394" s="56">
        <v>3.1</v>
      </c>
      <c r="D394" s="64">
        <f t="shared" ref="D394:D399" si="239">B394*C394</f>
        <v>304.56260000000003</v>
      </c>
      <c r="E394" s="153"/>
      <c r="F394" s="76">
        <f t="shared" ref="F394:F399" si="240">D394</f>
        <v>304.56260000000003</v>
      </c>
      <c r="G394" s="74">
        <f>F394*1</f>
        <v>304.56260000000003</v>
      </c>
      <c r="H394" s="126">
        <f>C106+C107+B110+B107</f>
        <v>333.26249999999999</v>
      </c>
      <c r="I394" s="126">
        <f>4*3.488</f>
        <v>13.952</v>
      </c>
      <c r="J394" s="126">
        <f>7.725*4*2.55</f>
        <v>78.794999999999987</v>
      </c>
      <c r="K394" s="72"/>
      <c r="L394" s="72">
        <f>J394</f>
        <v>78.794999999999987</v>
      </c>
      <c r="M394" s="126">
        <f>H394-I394</f>
        <v>319.31049999999999</v>
      </c>
      <c r="N394" s="56"/>
      <c r="O394" s="56"/>
    </row>
    <row r="395" spans="1:19">
      <c r="B395" s="126">
        <f>(8.23*2)+3.65+2.6+2.6+2.6+1.724+1.6+4.5</f>
        <v>35.734000000000009</v>
      </c>
      <c r="C395" s="56">
        <v>3.1</v>
      </c>
      <c r="D395" s="64">
        <f t="shared" si="239"/>
        <v>110.77540000000003</v>
      </c>
      <c r="E395" s="153"/>
      <c r="F395" s="76">
        <f t="shared" si="240"/>
        <v>110.77540000000003</v>
      </c>
      <c r="G395" s="74">
        <f>F395*2+G394</f>
        <v>526.11340000000007</v>
      </c>
      <c r="H395" s="126"/>
      <c r="I395" s="126"/>
      <c r="J395" s="126"/>
      <c r="K395" s="72"/>
      <c r="L395" s="72"/>
      <c r="M395" s="126"/>
      <c r="N395" s="56"/>
      <c r="O395" s="56"/>
    </row>
    <row r="396" spans="1:19">
      <c r="A396" s="95" t="s">
        <v>255</v>
      </c>
      <c r="B396" s="126">
        <f>40.893+40.893+8.23+8.23</f>
        <v>98.246000000000009</v>
      </c>
      <c r="C396" s="56">
        <v>2.5499999999999998</v>
      </c>
      <c r="D396" s="64">
        <f t="shared" si="239"/>
        <v>250.5273</v>
      </c>
      <c r="E396" s="64"/>
      <c r="F396" s="76">
        <f t="shared" si="240"/>
        <v>250.5273</v>
      </c>
      <c r="G396" s="74">
        <f>F396*1</f>
        <v>250.5273</v>
      </c>
      <c r="H396" s="126">
        <f>C153+C154+B157</f>
        <v>333.26249999999999</v>
      </c>
      <c r="I396" s="126">
        <f>2*3.584</f>
        <v>7.1680000000000001</v>
      </c>
      <c r="J396" s="126">
        <f>7.949*2*2.55</f>
        <v>40.539899999999996</v>
      </c>
      <c r="K396" s="72"/>
      <c r="L396" s="72">
        <f>J396</f>
        <v>40.539899999999996</v>
      </c>
      <c r="M396" s="126"/>
      <c r="N396" s="56"/>
      <c r="O396" s="56"/>
    </row>
    <row r="397" spans="1:19">
      <c r="A397" s="96"/>
      <c r="B397" s="126">
        <f>(3.25*11)+3.65+3.65+1.4+1.68+2.65+2.149+1.851+2.5+2.5+1.676+1.676+1.3</f>
        <v>62.431999999999995</v>
      </c>
      <c r="C397" s="56">
        <v>2.5499999999999998</v>
      </c>
      <c r="D397" s="64">
        <f t="shared" si="239"/>
        <v>159.20159999999998</v>
      </c>
      <c r="E397" s="64"/>
      <c r="F397" s="76">
        <f t="shared" si="240"/>
        <v>159.20159999999998</v>
      </c>
      <c r="G397" s="74">
        <f>F397*2+G396</f>
        <v>568.93049999999994</v>
      </c>
      <c r="H397" s="126"/>
      <c r="I397" s="126"/>
      <c r="J397" s="126"/>
      <c r="K397" s="72"/>
      <c r="L397" s="72">
        <f>J397</f>
        <v>0</v>
      </c>
      <c r="M397" s="126"/>
      <c r="N397" s="56"/>
      <c r="O397" s="56"/>
    </row>
    <row r="398" spans="1:19">
      <c r="A398" s="95" t="s">
        <v>214</v>
      </c>
      <c r="B398" s="126">
        <f>40.893+40.893+8.23+8.23</f>
        <v>98.246000000000009</v>
      </c>
      <c r="C398" s="56">
        <v>2.5499999999999998</v>
      </c>
      <c r="D398" s="64">
        <f t="shared" si="239"/>
        <v>250.5273</v>
      </c>
      <c r="E398" s="64"/>
      <c r="F398" s="76">
        <f t="shared" si="240"/>
        <v>250.5273</v>
      </c>
      <c r="G398" s="74">
        <f>F398*1</f>
        <v>250.5273</v>
      </c>
      <c r="H398" s="126">
        <f>C153+C154+B157</f>
        <v>333.26249999999999</v>
      </c>
      <c r="I398" s="126">
        <f>2*3.584</f>
        <v>7.1680000000000001</v>
      </c>
      <c r="J398" s="126">
        <f>7.949*2*2.55</f>
        <v>40.539899999999996</v>
      </c>
      <c r="K398" s="72"/>
      <c r="L398" s="72">
        <f>J398</f>
        <v>40.539899999999996</v>
      </c>
      <c r="M398" s="126"/>
      <c r="N398" s="56"/>
      <c r="O398" s="56"/>
    </row>
    <row r="399" spans="1:19">
      <c r="A399" s="96"/>
      <c r="B399" s="126">
        <f>(3.25*8)+3.5+2.65+1.676+1.676+2.5+((3.65+3.5+3.65+3.65+3.65+3.65+3.65+3.65+1.4+1.68))</f>
        <v>70.132000000000005</v>
      </c>
      <c r="C399" s="56">
        <v>2.5499999999999998</v>
      </c>
      <c r="D399" s="64">
        <f t="shared" si="239"/>
        <v>178.8366</v>
      </c>
      <c r="E399" s="64"/>
      <c r="F399" s="76">
        <f t="shared" si="240"/>
        <v>178.8366</v>
      </c>
      <c r="G399" s="74">
        <f>F399*2+G398</f>
        <v>608.20050000000003</v>
      </c>
      <c r="H399" s="126"/>
      <c r="I399" s="126"/>
      <c r="J399" s="126"/>
      <c r="K399" s="72"/>
      <c r="L399" s="72">
        <f>J399</f>
        <v>0</v>
      </c>
      <c r="M399" s="126"/>
      <c r="N399" s="56"/>
      <c r="O399" s="56"/>
    </row>
    <row r="400" spans="1:19">
      <c r="A400" s="96"/>
      <c r="B400" s="126"/>
      <c r="C400" s="56"/>
      <c r="D400" s="64"/>
      <c r="E400" s="64"/>
      <c r="F400" s="76"/>
      <c r="G400" s="72"/>
      <c r="H400" s="72"/>
      <c r="K400" s="64"/>
      <c r="L400" s="72"/>
      <c r="M400" s="126"/>
      <c r="N400" s="56"/>
      <c r="O400" s="56"/>
      <c r="P400" s="56"/>
      <c r="Q400" s="56"/>
      <c r="R400" s="56"/>
      <c r="S400" s="97"/>
    </row>
    <row r="401" spans="1:19">
      <c r="A401" s="98" t="s">
        <v>205</v>
      </c>
      <c r="B401" s="126">
        <f>(11.593*2)+8.23+8.23</f>
        <v>39.646000000000001</v>
      </c>
      <c r="C401" s="56">
        <v>2.5499999999999998</v>
      </c>
      <c r="D401" s="64">
        <f>B401*C401</f>
        <v>101.09729999999999</v>
      </c>
      <c r="E401" s="64"/>
      <c r="F401" s="76">
        <f>D401</f>
        <v>101.09729999999999</v>
      </c>
      <c r="G401" s="74">
        <f>F401*2+G400</f>
        <v>202.19459999999998</v>
      </c>
      <c r="H401" s="126">
        <f>H398</f>
        <v>333.26249999999999</v>
      </c>
      <c r="I401" s="126">
        <f>2*3.584</f>
        <v>7.1680000000000001</v>
      </c>
      <c r="J401" s="126">
        <f>7.949*2*2.55</f>
        <v>40.539899999999996</v>
      </c>
      <c r="K401" s="72"/>
      <c r="L401" s="72">
        <f>J401</f>
        <v>40.539899999999996</v>
      </c>
      <c r="M401" s="126"/>
      <c r="N401" s="56"/>
      <c r="O401" s="56"/>
      <c r="P401" s="56"/>
      <c r="Q401" s="56"/>
      <c r="R401" s="56"/>
      <c r="S401" s="64"/>
    </row>
    <row r="402" spans="1:19">
      <c r="A402" s="98"/>
      <c r="B402" s="126">
        <f>2.149+1.851+2.443+2.5+2.5+1.676+1.676</f>
        <v>14.795</v>
      </c>
      <c r="C402" s="56">
        <v>3.55</v>
      </c>
      <c r="D402" s="64">
        <f t="shared" ref="D402" si="241">B402*C402</f>
        <v>52.52225</v>
      </c>
      <c r="E402" s="64"/>
      <c r="F402" s="76">
        <f t="shared" ref="F402" si="242">D402</f>
        <v>52.52225</v>
      </c>
      <c r="G402" s="74">
        <f t="shared" ref="G402" si="243">F402*2+G401</f>
        <v>307.23910000000001</v>
      </c>
      <c r="H402" s="126">
        <f t="shared" ref="H402:H405" si="244">H399</f>
        <v>0</v>
      </c>
      <c r="I402" s="126">
        <f t="shared" ref="I402:I405" si="245">2*3.584</f>
        <v>7.1680000000000001</v>
      </c>
      <c r="J402" s="126">
        <f t="shared" ref="J402:J405" si="246">7.949*2*2.55</f>
        <v>40.539899999999996</v>
      </c>
      <c r="K402" s="72"/>
      <c r="L402" s="72">
        <f t="shared" ref="L402" si="247">J402</f>
        <v>40.539899999999996</v>
      </c>
      <c r="M402" s="126"/>
      <c r="N402" s="56"/>
      <c r="O402" s="56"/>
      <c r="P402" s="56"/>
      <c r="Q402" s="56"/>
      <c r="R402" s="56"/>
      <c r="S402" s="64"/>
    </row>
    <row r="403" spans="1:19">
      <c r="A403" s="98"/>
      <c r="B403" s="126"/>
      <c r="C403" s="56"/>
      <c r="D403" s="64"/>
      <c r="E403" s="64"/>
      <c r="F403" s="76"/>
      <c r="G403" s="74"/>
      <c r="H403" s="126"/>
      <c r="I403" s="126"/>
      <c r="J403" s="126"/>
      <c r="K403" s="72"/>
      <c r="L403" s="72"/>
      <c r="M403" s="126"/>
      <c r="N403" s="56"/>
      <c r="O403" s="56"/>
      <c r="P403" s="56"/>
      <c r="Q403" s="56"/>
      <c r="R403" s="56"/>
      <c r="S403" s="97"/>
    </row>
    <row r="404" spans="1:19">
      <c r="A404" s="98" t="s">
        <v>205</v>
      </c>
      <c r="B404" s="126">
        <f>(2.5*2)+8.23+8.23</f>
        <v>21.46</v>
      </c>
      <c r="C404" s="56">
        <v>2.5499999999999998</v>
      </c>
      <c r="D404" s="64">
        <f>B404*C404</f>
        <v>54.722999999999999</v>
      </c>
      <c r="E404" s="64"/>
      <c r="F404" s="76">
        <f>D404</f>
        <v>54.722999999999999</v>
      </c>
      <c r="G404" s="74">
        <f>F404*2+G403</f>
        <v>109.446</v>
      </c>
      <c r="H404" s="126">
        <f>H401</f>
        <v>333.26249999999999</v>
      </c>
      <c r="I404" s="126">
        <f>2*3.584</f>
        <v>7.1680000000000001</v>
      </c>
      <c r="J404" s="126">
        <f>7.949*2*2.55</f>
        <v>40.539899999999996</v>
      </c>
      <c r="K404" s="72"/>
      <c r="L404" s="72">
        <f>J404</f>
        <v>40.539899999999996</v>
      </c>
      <c r="M404" s="126"/>
      <c r="N404" s="56"/>
      <c r="O404" s="56"/>
      <c r="P404" s="56"/>
      <c r="Q404" s="56"/>
      <c r="R404" s="56"/>
      <c r="S404" s="64"/>
    </row>
    <row r="405" spans="1:19">
      <c r="A405" s="98"/>
      <c r="B405" s="126">
        <v>2.5</v>
      </c>
      <c r="C405" s="56">
        <v>3.55</v>
      </c>
      <c r="D405" s="64">
        <f t="shared" ref="D405" si="248">B405*C405</f>
        <v>8.875</v>
      </c>
      <c r="E405" s="64"/>
      <c r="F405" s="76">
        <f t="shared" ref="F405" si="249">D405</f>
        <v>8.875</v>
      </c>
      <c r="G405" s="74">
        <f t="shared" ref="G405" si="250">F405*2+G404</f>
        <v>127.196</v>
      </c>
      <c r="H405" s="126">
        <f t="shared" si="244"/>
        <v>0</v>
      </c>
      <c r="I405" s="126">
        <f t="shared" si="245"/>
        <v>7.1680000000000001</v>
      </c>
      <c r="J405" s="126">
        <f t="shared" si="246"/>
        <v>40.539899999999996</v>
      </c>
      <c r="K405" s="72"/>
      <c r="L405" s="72">
        <f t="shared" ref="L405" si="251">J405</f>
        <v>40.539899999999996</v>
      </c>
      <c r="M405" s="126"/>
      <c r="N405" s="56"/>
      <c r="O405" s="56"/>
      <c r="P405" s="56"/>
      <c r="Q405" s="56"/>
      <c r="R405" s="56"/>
      <c r="S405" s="64"/>
    </row>
    <row r="406" spans="1:19">
      <c r="A406" s="98"/>
      <c r="B406" s="48"/>
      <c r="C406" s="56"/>
      <c r="D406" s="64"/>
      <c r="E406" s="64"/>
      <c r="F406" s="76"/>
      <c r="G406" s="72"/>
      <c r="H406" s="72"/>
      <c r="K406" s="64"/>
      <c r="L406" s="72"/>
      <c r="M406" s="126"/>
      <c r="N406" s="56"/>
      <c r="O406" s="56"/>
    </row>
    <row r="407" spans="1:19" ht="14.25" customHeight="1">
      <c r="A407" s="98" t="s">
        <v>205</v>
      </c>
      <c r="B407" s="48">
        <f>(1.127*28)+(23*0.65)</f>
        <v>46.506</v>
      </c>
      <c r="C407" s="56">
        <v>1</v>
      </c>
      <c r="D407" s="64">
        <v>1</v>
      </c>
      <c r="E407" s="64">
        <v>1</v>
      </c>
      <c r="F407" s="76">
        <f>B407</f>
        <v>46.506</v>
      </c>
      <c r="G407" s="72">
        <f t="shared" ref="G407:G408" si="252">F407*2</f>
        <v>93.012</v>
      </c>
      <c r="H407" s="72">
        <f t="shared" ref="H407:H408" si="253">H406</f>
        <v>0</v>
      </c>
      <c r="I407" s="64"/>
      <c r="J407" s="64"/>
      <c r="K407" s="71"/>
      <c r="L407" s="72"/>
      <c r="M407" s="126">
        <f t="shared" ref="M407" si="254">H407-I407</f>
        <v>0</v>
      </c>
      <c r="N407" s="56"/>
      <c r="O407" s="56"/>
    </row>
    <row r="408" spans="1:19" s="50" customFormat="1">
      <c r="B408" s="126"/>
      <c r="C408" s="56"/>
      <c r="D408" s="64">
        <f>B408*C408</f>
        <v>0</v>
      </c>
      <c r="E408" s="72">
        <f>Doors!AA31</f>
        <v>0</v>
      </c>
      <c r="F408" s="76">
        <f>D408-E408</f>
        <v>0</v>
      </c>
      <c r="G408" s="72">
        <f t="shared" si="252"/>
        <v>0</v>
      </c>
      <c r="H408" s="72">
        <f t="shared" si="253"/>
        <v>0</v>
      </c>
      <c r="I408" s="71"/>
      <c r="J408" s="71"/>
      <c r="K408" s="71"/>
      <c r="L408" s="72"/>
      <c r="M408" s="154"/>
    </row>
    <row r="409" spans="1:19">
      <c r="B409" s="155"/>
      <c r="C409" s="72"/>
      <c r="D409" s="72"/>
      <c r="E409" s="72"/>
      <c r="F409" s="72"/>
      <c r="G409" s="156"/>
      <c r="H409" s="72"/>
      <c r="I409" s="72"/>
      <c r="J409" s="72"/>
      <c r="K409" s="72"/>
      <c r="L409" s="72"/>
      <c r="M409" s="155"/>
    </row>
    <row r="411" spans="1:19">
      <c r="B411" s="89">
        <f>(10.468+3)</f>
        <v>13.468</v>
      </c>
      <c r="C411" s="54">
        <f>(9.774)</f>
        <v>9.7739999999999991</v>
      </c>
      <c r="O411" s="54">
        <f>(12+12)*2*8</f>
        <v>384</v>
      </c>
    </row>
    <row r="412" spans="1:19">
      <c r="A412" s="54" t="s">
        <v>308</v>
      </c>
      <c r="B412" s="89">
        <f>(10.468+3)*(9.774)</f>
        <v>131.63623199999998</v>
      </c>
      <c r="C412" s="54">
        <v>11.5</v>
      </c>
      <c r="D412" s="54">
        <f>C412*B412</f>
        <v>1513.8166679999997</v>
      </c>
      <c r="O412" s="54">
        <f>O411*0.304</f>
        <v>116.73599999999999</v>
      </c>
      <c r="Q412" s="54">
        <f>H396/0.092</f>
        <v>3622.4184782608695</v>
      </c>
    </row>
    <row r="413" spans="1:19">
      <c r="A413" s="54" t="s">
        <v>309</v>
      </c>
      <c r="B413" s="89">
        <f>(C411/0.6)*B411*2</f>
        <v>438.78744</v>
      </c>
      <c r="C413" s="54">
        <v>1</v>
      </c>
      <c r="D413" s="54">
        <f>C413*B413</f>
        <v>438.78744</v>
      </c>
      <c r="G413" s="54">
        <f>C412/0.8</f>
        <v>14.375</v>
      </c>
    </row>
    <row r="414" spans="1:19">
      <c r="A414" s="54" t="s">
        <v>310</v>
      </c>
      <c r="B414" s="95">
        <f>(10.468+1.4)*2+((6.774+1.6)*2)</f>
        <v>40.484000000000002</v>
      </c>
      <c r="G414" s="54">
        <f>G413*B412</f>
        <v>1892.2708349999996</v>
      </c>
    </row>
    <row r="415" spans="1:19">
      <c r="B415" s="95">
        <f>(10.468+1.5)/0.9</f>
        <v>13.297777777777778</v>
      </c>
      <c r="C415" s="54">
        <f>B415*C411</f>
        <v>129.97247999999999</v>
      </c>
    </row>
    <row r="423" spans="1:28" s="286" customFormat="1">
      <c r="A423" s="279"/>
      <c r="B423" s="280" t="s">
        <v>449</v>
      </c>
      <c r="C423" s="281"/>
      <c r="D423" s="281"/>
      <c r="E423" s="282" t="s">
        <v>450</v>
      </c>
      <c r="F423" s="283" t="s">
        <v>451</v>
      </c>
      <c r="G423" s="283" t="s">
        <v>452</v>
      </c>
      <c r="H423" s="283" t="s">
        <v>453</v>
      </c>
      <c r="I423" s="283" t="s">
        <v>454</v>
      </c>
      <c r="J423" s="283" t="s">
        <v>455</v>
      </c>
      <c r="K423" s="283" t="s">
        <v>456</v>
      </c>
      <c r="L423" s="283" t="s">
        <v>457</v>
      </c>
      <c r="M423" s="283" t="s">
        <v>458</v>
      </c>
      <c r="N423" s="284" t="s">
        <v>459</v>
      </c>
      <c r="O423" s="283" t="s">
        <v>460</v>
      </c>
      <c r="P423" s="284"/>
      <c r="Q423" s="285" t="s">
        <v>461</v>
      </c>
      <c r="R423" s="286" t="s">
        <v>329</v>
      </c>
      <c r="S423" s="286" t="s">
        <v>255</v>
      </c>
      <c r="T423" s="286" t="s">
        <v>214</v>
      </c>
      <c r="U423" s="286" t="s">
        <v>256</v>
      </c>
      <c r="V423" s="286" t="s">
        <v>257</v>
      </c>
      <c r="W423" s="286" t="s">
        <v>258</v>
      </c>
      <c r="X423" s="286" t="s">
        <v>259</v>
      </c>
      <c r="Y423" s="286" t="s">
        <v>260</v>
      </c>
      <c r="Z423" s="286" t="s">
        <v>462</v>
      </c>
      <c r="AA423" s="286" t="s">
        <v>463</v>
      </c>
      <c r="AB423" s="286" t="s">
        <v>464</v>
      </c>
    </row>
    <row r="424" spans="1:28" s="294" customFormat="1">
      <c r="A424" s="287" t="s">
        <v>475</v>
      </c>
      <c r="B424" s="288">
        <f>2.5*2.1</f>
        <v>5.25</v>
      </c>
      <c r="C424" s="289">
        <v>2250</v>
      </c>
      <c r="D424" s="289">
        <f t="shared" ref="D424:D440" si="255">B424*C424</f>
        <v>11812.5</v>
      </c>
      <c r="E424" s="290">
        <v>1</v>
      </c>
      <c r="F424" s="290"/>
      <c r="G424" s="290"/>
      <c r="H424" s="290"/>
      <c r="I424" s="290"/>
      <c r="J424" s="290"/>
      <c r="K424" s="290"/>
      <c r="L424" s="290"/>
      <c r="M424" s="290"/>
      <c r="N424" s="290"/>
      <c r="O424" s="290"/>
      <c r="P424" s="291"/>
      <c r="Q424" s="292">
        <f t="shared" ref="Q424:Q440" si="256">SUM(E424:P424)</f>
        <v>1</v>
      </c>
      <c r="R424" s="293">
        <f t="shared" ref="R424:R440" si="257">B424*E424</f>
        <v>5.25</v>
      </c>
      <c r="S424" s="293">
        <f t="shared" ref="S424:S440" si="258">B424*F424</f>
        <v>0</v>
      </c>
      <c r="T424" s="293">
        <f t="shared" ref="T424:T440" si="259">B424*G424</f>
        <v>0</v>
      </c>
      <c r="U424" s="293">
        <f t="shared" ref="U424:U442" si="260">B424*H424</f>
        <v>0</v>
      </c>
      <c r="V424" s="293">
        <f t="shared" ref="V424:V442" si="261">B424*I424</f>
        <v>0</v>
      </c>
      <c r="W424" s="293">
        <f t="shared" ref="W424:W442" si="262">B424*J424</f>
        <v>0</v>
      </c>
      <c r="X424" s="293">
        <f t="shared" ref="X424:X442" si="263">B424*K424</f>
        <v>0</v>
      </c>
      <c r="Y424" s="293">
        <f t="shared" ref="Y424:Y442" si="264">B424*L424</f>
        <v>0</v>
      </c>
      <c r="Z424" s="293">
        <f t="shared" ref="Z424:Z442" si="265">B424*M424</f>
        <v>0</v>
      </c>
      <c r="AA424" s="293">
        <f t="shared" ref="AA424:AA440" si="266">B424*N424</f>
        <v>0</v>
      </c>
      <c r="AB424" s="293">
        <f t="shared" ref="AB424:AB440" si="267">B424*O424</f>
        <v>0</v>
      </c>
    </row>
    <row r="425" spans="1:28" s="294" customFormat="1">
      <c r="A425" s="287" t="s">
        <v>476</v>
      </c>
      <c r="B425" s="288">
        <f>2.15*2.1</f>
        <v>4.5149999999999997</v>
      </c>
      <c r="C425" s="289">
        <v>2250</v>
      </c>
      <c r="D425" s="289">
        <f t="shared" ref="D425" si="268">B425*C425</f>
        <v>10158.75</v>
      </c>
      <c r="E425" s="290">
        <v>1</v>
      </c>
      <c r="F425" s="290"/>
      <c r="G425" s="290"/>
      <c r="H425" s="290"/>
      <c r="I425" s="290"/>
      <c r="J425" s="290"/>
      <c r="K425" s="290"/>
      <c r="L425" s="290"/>
      <c r="M425" s="290"/>
      <c r="N425" s="290"/>
      <c r="O425" s="290"/>
      <c r="P425" s="291"/>
      <c r="Q425" s="292">
        <f t="shared" ref="Q425" si="269">SUM(E425:P425)</f>
        <v>1</v>
      </c>
      <c r="R425" s="293">
        <f t="shared" ref="R425" si="270">B425*E425</f>
        <v>4.5149999999999997</v>
      </c>
      <c r="S425" s="293">
        <f t="shared" ref="S425" si="271">B425*F425</f>
        <v>0</v>
      </c>
      <c r="T425" s="293">
        <f t="shared" ref="T425" si="272">B425*G425</f>
        <v>0</v>
      </c>
      <c r="U425" s="293">
        <f t="shared" ref="U425" si="273">B425*H425</f>
        <v>0</v>
      </c>
      <c r="V425" s="293">
        <f t="shared" ref="V425" si="274">B425*I425</f>
        <v>0</v>
      </c>
      <c r="W425" s="293">
        <f t="shared" ref="W425" si="275">B425*J425</f>
        <v>0</v>
      </c>
      <c r="X425" s="293">
        <f t="shared" ref="X425" si="276">B425*K425</f>
        <v>0</v>
      </c>
      <c r="Y425" s="293">
        <f t="shared" ref="Y425" si="277">B425*L425</f>
        <v>0</v>
      </c>
      <c r="Z425" s="293">
        <f t="shared" ref="Z425" si="278">B425*M425</f>
        <v>0</v>
      </c>
      <c r="AA425" s="293">
        <f t="shared" ref="AA425" si="279">B425*N425</f>
        <v>0</v>
      </c>
      <c r="AB425" s="293">
        <f t="shared" ref="AB425" si="280">B425*O425</f>
        <v>0</v>
      </c>
    </row>
    <row r="426" spans="1:28" s="294" customFormat="1">
      <c r="A426" s="287" t="s">
        <v>465</v>
      </c>
      <c r="B426" s="288">
        <f>((1.124+0.848+0.848+1.124)*2.1)</f>
        <v>8.2824000000000009</v>
      </c>
      <c r="C426" s="289">
        <v>2250</v>
      </c>
      <c r="D426" s="289">
        <f t="shared" si="255"/>
        <v>18635.400000000001</v>
      </c>
      <c r="E426" s="290">
        <v>1</v>
      </c>
      <c r="F426" s="290"/>
      <c r="G426" s="290"/>
      <c r="H426" s="290"/>
      <c r="I426" s="290"/>
      <c r="J426" s="290"/>
      <c r="K426" s="290"/>
      <c r="L426" s="290"/>
      <c r="M426" s="290"/>
      <c r="N426" s="290"/>
      <c r="O426" s="290"/>
      <c r="P426" s="291"/>
      <c r="Q426" s="292">
        <f t="shared" si="256"/>
        <v>1</v>
      </c>
      <c r="R426" s="293">
        <f t="shared" si="257"/>
        <v>8.2824000000000009</v>
      </c>
      <c r="S426" s="293">
        <f t="shared" si="258"/>
        <v>0</v>
      </c>
      <c r="T426" s="293">
        <f t="shared" si="259"/>
        <v>0</v>
      </c>
      <c r="U426" s="293">
        <f t="shared" si="260"/>
        <v>0</v>
      </c>
      <c r="V426" s="293">
        <f t="shared" si="261"/>
        <v>0</v>
      </c>
      <c r="W426" s="293">
        <f t="shared" si="262"/>
        <v>0</v>
      </c>
      <c r="X426" s="293">
        <f t="shared" si="263"/>
        <v>0</v>
      </c>
      <c r="Y426" s="293">
        <f t="shared" si="264"/>
        <v>0</v>
      </c>
      <c r="Z426" s="293">
        <f t="shared" si="265"/>
        <v>0</v>
      </c>
      <c r="AA426" s="293">
        <f t="shared" si="266"/>
        <v>0</v>
      </c>
      <c r="AB426" s="293">
        <f t="shared" si="267"/>
        <v>0</v>
      </c>
    </row>
    <row r="427" spans="1:28" s="294" customFormat="1">
      <c r="A427" s="287" t="s">
        <v>477</v>
      </c>
      <c r="B427" s="288">
        <f>(0.848*2)*2.1</f>
        <v>3.5615999999999999</v>
      </c>
      <c r="C427" s="289">
        <v>2250</v>
      </c>
      <c r="D427" s="289">
        <f t="shared" si="255"/>
        <v>8013.5999999999995</v>
      </c>
      <c r="E427" s="290">
        <v>1</v>
      </c>
      <c r="F427" s="290"/>
      <c r="G427" s="290"/>
      <c r="H427" s="290"/>
      <c r="I427" s="290"/>
      <c r="J427" s="290"/>
      <c r="K427" s="290"/>
      <c r="L427" s="290"/>
      <c r="M427" s="290"/>
      <c r="N427" s="290"/>
      <c r="O427" s="290"/>
      <c r="P427" s="291"/>
      <c r="Q427" s="292">
        <f t="shared" si="256"/>
        <v>1</v>
      </c>
      <c r="R427" s="293">
        <f t="shared" si="257"/>
        <v>3.5615999999999999</v>
      </c>
      <c r="S427" s="293">
        <f t="shared" si="258"/>
        <v>0</v>
      </c>
      <c r="T427" s="293">
        <f t="shared" si="259"/>
        <v>0</v>
      </c>
      <c r="U427" s="293">
        <f t="shared" si="260"/>
        <v>0</v>
      </c>
      <c r="V427" s="293">
        <f t="shared" si="261"/>
        <v>0</v>
      </c>
      <c r="W427" s="293">
        <f t="shared" si="262"/>
        <v>0</v>
      </c>
      <c r="X427" s="293">
        <f t="shared" si="263"/>
        <v>0</v>
      </c>
      <c r="Y427" s="293">
        <f t="shared" si="264"/>
        <v>0</v>
      </c>
      <c r="Z427" s="293">
        <f t="shared" si="265"/>
        <v>0</v>
      </c>
      <c r="AA427" s="293">
        <f t="shared" si="266"/>
        <v>0</v>
      </c>
      <c r="AB427" s="293">
        <f t="shared" si="267"/>
        <v>0</v>
      </c>
    </row>
    <row r="428" spans="1:28" s="294" customFormat="1">
      <c r="A428" s="287" t="s">
        <v>466</v>
      </c>
      <c r="B428" s="288">
        <f>1.05*2.1</f>
        <v>2.2050000000000001</v>
      </c>
      <c r="C428" s="289">
        <v>2250</v>
      </c>
      <c r="D428" s="289">
        <f t="shared" si="255"/>
        <v>4961.25</v>
      </c>
      <c r="E428" s="290">
        <v>1</v>
      </c>
      <c r="F428" s="290">
        <v>2</v>
      </c>
      <c r="G428" s="290">
        <v>2</v>
      </c>
      <c r="H428" s="290"/>
      <c r="I428" s="290"/>
      <c r="J428" s="290"/>
      <c r="K428" s="290"/>
      <c r="L428" s="290"/>
      <c r="M428" s="290"/>
      <c r="N428" s="290"/>
      <c r="O428" s="290">
        <v>2</v>
      </c>
      <c r="P428" s="291"/>
      <c r="Q428" s="292">
        <f t="shared" ref="Q428:Q431" si="281">SUM(E428:P428)</f>
        <v>7</v>
      </c>
      <c r="R428" s="293">
        <f t="shared" si="257"/>
        <v>2.2050000000000001</v>
      </c>
      <c r="S428" s="293">
        <f t="shared" si="258"/>
        <v>4.41</v>
      </c>
      <c r="T428" s="293">
        <f t="shared" si="259"/>
        <v>4.41</v>
      </c>
      <c r="U428" s="293">
        <f t="shared" si="260"/>
        <v>0</v>
      </c>
      <c r="V428" s="293">
        <f t="shared" si="261"/>
        <v>0</v>
      </c>
      <c r="W428" s="293">
        <f t="shared" si="262"/>
        <v>0</v>
      </c>
      <c r="X428" s="293">
        <f t="shared" si="263"/>
        <v>0</v>
      </c>
      <c r="Y428" s="293">
        <f t="shared" si="264"/>
        <v>0</v>
      </c>
      <c r="Z428" s="293">
        <f t="shared" si="265"/>
        <v>0</v>
      </c>
      <c r="AA428" s="293">
        <f t="shared" si="266"/>
        <v>0</v>
      </c>
      <c r="AB428" s="293">
        <f t="shared" si="267"/>
        <v>4.41</v>
      </c>
    </row>
    <row r="429" spans="1:28" s="294" customFormat="1">
      <c r="A429" s="287" t="s">
        <v>467</v>
      </c>
      <c r="B429" s="288">
        <f>0.9*2.1</f>
        <v>1.8900000000000001</v>
      </c>
      <c r="C429" s="289">
        <v>2250</v>
      </c>
      <c r="D429" s="289">
        <f t="shared" si="255"/>
        <v>4252.5</v>
      </c>
      <c r="E429" s="290"/>
      <c r="F429" s="290">
        <v>11</v>
      </c>
      <c r="G429" s="290">
        <v>8</v>
      </c>
      <c r="H429" s="290"/>
      <c r="I429" s="290"/>
      <c r="J429" s="290"/>
      <c r="K429" s="290"/>
      <c r="L429" s="290"/>
      <c r="M429" s="290"/>
      <c r="N429" s="290"/>
      <c r="O429" s="290"/>
      <c r="P429" s="291"/>
      <c r="Q429" s="292">
        <f t="shared" si="281"/>
        <v>19</v>
      </c>
      <c r="R429" s="293">
        <f t="shared" si="257"/>
        <v>0</v>
      </c>
      <c r="S429" s="293">
        <f t="shared" si="258"/>
        <v>20.790000000000003</v>
      </c>
      <c r="T429" s="293">
        <f t="shared" si="259"/>
        <v>15.120000000000001</v>
      </c>
      <c r="U429" s="293">
        <f t="shared" si="260"/>
        <v>0</v>
      </c>
      <c r="V429" s="293">
        <f t="shared" si="261"/>
        <v>0</v>
      </c>
      <c r="W429" s="293">
        <f t="shared" si="262"/>
        <v>0</v>
      </c>
      <c r="X429" s="293">
        <f t="shared" si="263"/>
        <v>0</v>
      </c>
      <c r="Y429" s="293">
        <f t="shared" si="264"/>
        <v>0</v>
      </c>
      <c r="Z429" s="293">
        <f t="shared" si="265"/>
        <v>0</v>
      </c>
      <c r="AA429" s="293">
        <f t="shared" si="266"/>
        <v>0</v>
      </c>
      <c r="AB429" s="293">
        <f t="shared" si="267"/>
        <v>0</v>
      </c>
    </row>
    <row r="430" spans="1:28" s="294" customFormat="1">
      <c r="A430" s="287" t="s">
        <v>468</v>
      </c>
      <c r="B430" s="288">
        <f>0.8*2.1</f>
        <v>1.6800000000000002</v>
      </c>
      <c r="C430" s="289">
        <v>2250</v>
      </c>
      <c r="D430" s="289">
        <f t="shared" si="255"/>
        <v>3780.0000000000005</v>
      </c>
      <c r="E430" s="290">
        <v>1</v>
      </c>
      <c r="F430" s="290"/>
      <c r="G430" s="290"/>
      <c r="H430" s="290"/>
      <c r="I430" s="290"/>
      <c r="J430" s="290"/>
      <c r="K430" s="290"/>
      <c r="L430" s="290"/>
      <c r="M430" s="290"/>
      <c r="N430" s="290"/>
      <c r="O430" s="290">
        <v>1</v>
      </c>
      <c r="P430" s="291"/>
      <c r="Q430" s="292">
        <f t="shared" si="281"/>
        <v>2</v>
      </c>
      <c r="R430" s="293">
        <f t="shared" si="257"/>
        <v>1.6800000000000002</v>
      </c>
      <c r="S430" s="293">
        <f t="shared" si="258"/>
        <v>0</v>
      </c>
      <c r="T430" s="293">
        <f t="shared" si="259"/>
        <v>0</v>
      </c>
      <c r="U430" s="293">
        <f t="shared" si="260"/>
        <v>0</v>
      </c>
      <c r="V430" s="293">
        <f t="shared" si="261"/>
        <v>0</v>
      </c>
      <c r="W430" s="293">
        <f t="shared" si="262"/>
        <v>0</v>
      </c>
      <c r="X430" s="293">
        <f t="shared" si="263"/>
        <v>0</v>
      </c>
      <c r="Y430" s="293">
        <f t="shared" si="264"/>
        <v>0</v>
      </c>
      <c r="Z430" s="293">
        <f t="shared" si="265"/>
        <v>0</v>
      </c>
      <c r="AA430" s="293">
        <f t="shared" si="266"/>
        <v>0</v>
      </c>
      <c r="AB430" s="293">
        <f t="shared" si="267"/>
        <v>1.6800000000000002</v>
      </c>
    </row>
    <row r="431" spans="1:28" s="294" customFormat="1">
      <c r="A431" s="287" t="s">
        <v>469</v>
      </c>
      <c r="B431" s="288">
        <f>2.75*2.1</f>
        <v>5.7750000000000004</v>
      </c>
      <c r="C431" s="289">
        <v>2250</v>
      </c>
      <c r="D431" s="289">
        <f t="shared" si="255"/>
        <v>12993.75</v>
      </c>
      <c r="E431" s="290"/>
      <c r="F431" s="290"/>
      <c r="G431" s="290"/>
      <c r="H431" s="290"/>
      <c r="I431" s="290"/>
      <c r="J431" s="290"/>
      <c r="K431" s="290"/>
      <c r="L431" s="290"/>
      <c r="M431" s="290"/>
      <c r="N431" s="290"/>
      <c r="O431" s="290">
        <v>1</v>
      </c>
      <c r="P431" s="291"/>
      <c r="Q431" s="292">
        <f t="shared" si="281"/>
        <v>1</v>
      </c>
      <c r="R431" s="293">
        <f t="shared" si="257"/>
        <v>0</v>
      </c>
      <c r="S431" s="293">
        <f t="shared" si="258"/>
        <v>0</v>
      </c>
      <c r="T431" s="293">
        <f t="shared" si="259"/>
        <v>0</v>
      </c>
      <c r="U431" s="293">
        <f t="shared" si="260"/>
        <v>0</v>
      </c>
      <c r="V431" s="293">
        <f t="shared" si="261"/>
        <v>0</v>
      </c>
      <c r="W431" s="293">
        <f t="shared" si="262"/>
        <v>0</v>
      </c>
      <c r="X431" s="293">
        <f t="shared" si="263"/>
        <v>0</v>
      </c>
      <c r="Y431" s="293">
        <f t="shared" si="264"/>
        <v>0</v>
      </c>
      <c r="Z431" s="293">
        <f t="shared" si="265"/>
        <v>0</v>
      </c>
      <c r="AA431" s="293">
        <f t="shared" si="266"/>
        <v>0</v>
      </c>
      <c r="AB431" s="293">
        <f t="shared" si="267"/>
        <v>5.7750000000000004</v>
      </c>
    </row>
    <row r="432" spans="1:28" s="294" customFormat="1">
      <c r="A432" s="287" t="s">
        <v>470</v>
      </c>
      <c r="B432" s="288">
        <f>1.05*2.1</f>
        <v>2.2050000000000001</v>
      </c>
      <c r="C432" s="289">
        <v>2250</v>
      </c>
      <c r="D432" s="289">
        <f t="shared" ref="D432" si="282">B432*C432</f>
        <v>4961.25</v>
      </c>
      <c r="E432" s="290"/>
      <c r="F432" s="290"/>
      <c r="G432" s="290"/>
      <c r="H432" s="290"/>
      <c r="I432" s="290"/>
      <c r="J432" s="290"/>
      <c r="K432" s="290"/>
      <c r="L432" s="290"/>
      <c r="M432" s="290"/>
      <c r="N432" s="290"/>
      <c r="O432" s="290">
        <v>1</v>
      </c>
      <c r="P432" s="291"/>
      <c r="Q432" s="292">
        <f t="shared" ref="Q432" si="283">SUM(E432:P432)</f>
        <v>1</v>
      </c>
      <c r="R432" s="293">
        <f t="shared" ref="R432" si="284">B432*E432</f>
        <v>0</v>
      </c>
      <c r="S432" s="293">
        <f t="shared" ref="S432" si="285">B432*F432</f>
        <v>0</v>
      </c>
      <c r="T432" s="293">
        <f t="shared" ref="T432" si="286">B432*G432</f>
        <v>0</v>
      </c>
      <c r="U432" s="293">
        <f t="shared" ref="U432" si="287">B432*H432</f>
        <v>0</v>
      </c>
      <c r="V432" s="293">
        <f t="shared" ref="V432" si="288">B432*I432</f>
        <v>0</v>
      </c>
      <c r="W432" s="293">
        <f t="shared" ref="W432" si="289">B432*J432</f>
        <v>0</v>
      </c>
      <c r="X432" s="293">
        <f t="shared" ref="X432" si="290">B432*K432</f>
        <v>0</v>
      </c>
      <c r="Y432" s="293">
        <f t="shared" ref="Y432" si="291">B432*L432</f>
        <v>0</v>
      </c>
      <c r="Z432" s="293">
        <f t="shared" ref="Z432" si="292">B432*M432</f>
        <v>0</v>
      </c>
      <c r="AA432" s="293">
        <f t="shared" ref="AA432" si="293">B432*N432</f>
        <v>0</v>
      </c>
      <c r="AB432" s="293">
        <f t="shared" ref="AB432" si="294">B432*O432</f>
        <v>2.2050000000000001</v>
      </c>
    </row>
    <row r="433" spans="1:28" s="295" customFormat="1">
      <c r="A433" s="287" t="s">
        <v>471</v>
      </c>
      <c r="B433" s="288">
        <f>1.85*1.75</f>
        <v>3.2375000000000003</v>
      </c>
      <c r="C433" s="289">
        <v>2250</v>
      </c>
      <c r="D433" s="289">
        <f t="shared" si="255"/>
        <v>7284.3750000000009</v>
      </c>
      <c r="E433" s="290"/>
      <c r="F433" s="290">
        <v>5</v>
      </c>
      <c r="G433" s="290">
        <v>5</v>
      </c>
      <c r="H433" s="290"/>
      <c r="I433" s="290"/>
      <c r="J433" s="290"/>
      <c r="K433" s="290"/>
      <c r="L433" s="290"/>
      <c r="M433" s="290"/>
      <c r="N433" s="290"/>
      <c r="O433" s="290">
        <v>1</v>
      </c>
      <c r="P433" s="291"/>
      <c r="Q433" s="292">
        <f t="shared" si="256"/>
        <v>11</v>
      </c>
      <c r="R433" s="293">
        <f t="shared" si="257"/>
        <v>0</v>
      </c>
      <c r="S433" s="293">
        <f t="shared" si="258"/>
        <v>16.1875</v>
      </c>
      <c r="T433" s="293">
        <f t="shared" si="259"/>
        <v>16.1875</v>
      </c>
      <c r="U433" s="293">
        <f t="shared" si="260"/>
        <v>0</v>
      </c>
      <c r="V433" s="293">
        <f t="shared" si="261"/>
        <v>0</v>
      </c>
      <c r="W433" s="293">
        <f t="shared" si="262"/>
        <v>0</v>
      </c>
      <c r="X433" s="293">
        <f t="shared" si="263"/>
        <v>0</v>
      </c>
      <c r="Y433" s="293">
        <f t="shared" si="264"/>
        <v>0</v>
      </c>
      <c r="Z433" s="293">
        <f t="shared" si="265"/>
        <v>0</v>
      </c>
      <c r="AA433" s="293">
        <f t="shared" si="266"/>
        <v>0</v>
      </c>
      <c r="AB433" s="293">
        <f t="shared" si="267"/>
        <v>3.2375000000000003</v>
      </c>
    </row>
    <row r="434" spans="1:28" s="295" customFormat="1">
      <c r="A434" s="287" t="s">
        <v>480</v>
      </c>
      <c r="B434" s="288">
        <f>1.8*1.6</f>
        <v>2.8800000000000003</v>
      </c>
      <c r="C434" s="289">
        <v>2250</v>
      </c>
      <c r="D434" s="289">
        <f t="shared" ref="D434" si="295">B434*C434</f>
        <v>6480.0000000000009</v>
      </c>
      <c r="E434" s="290"/>
      <c r="F434" s="290">
        <v>6</v>
      </c>
      <c r="G434" s="290">
        <v>6</v>
      </c>
      <c r="H434" s="290"/>
      <c r="I434" s="290"/>
      <c r="J434" s="290"/>
      <c r="K434" s="290"/>
      <c r="L434" s="290"/>
      <c r="M434" s="290"/>
      <c r="N434" s="290"/>
      <c r="O434" s="290"/>
      <c r="P434" s="291"/>
      <c r="Q434" s="292">
        <f t="shared" ref="Q434" si="296">SUM(E434:P434)</f>
        <v>12</v>
      </c>
      <c r="R434" s="293">
        <f t="shared" ref="R434" si="297">B434*E434</f>
        <v>0</v>
      </c>
      <c r="S434" s="293">
        <f t="shared" ref="S434" si="298">B434*F434</f>
        <v>17.28</v>
      </c>
      <c r="T434" s="293">
        <f t="shared" ref="T434" si="299">B434*G434</f>
        <v>17.28</v>
      </c>
      <c r="U434" s="293">
        <f t="shared" ref="U434" si="300">B434*H434</f>
        <v>0</v>
      </c>
      <c r="V434" s="293">
        <f t="shared" ref="V434" si="301">B434*I434</f>
        <v>0</v>
      </c>
      <c r="W434" s="293">
        <f t="shared" ref="W434" si="302">B434*J434</f>
        <v>0</v>
      </c>
      <c r="X434" s="293">
        <f t="shared" ref="X434" si="303">B434*K434</f>
        <v>0</v>
      </c>
      <c r="Y434" s="293">
        <f t="shared" ref="Y434" si="304">B434*L434</f>
        <v>0</v>
      </c>
      <c r="Z434" s="293">
        <f t="shared" ref="Z434" si="305">B434*M434</f>
        <v>0</v>
      </c>
      <c r="AA434" s="293">
        <f t="shared" ref="AA434" si="306">B434*N434</f>
        <v>0</v>
      </c>
      <c r="AB434" s="293">
        <f t="shared" ref="AB434" si="307">B434*O434</f>
        <v>0</v>
      </c>
    </row>
    <row r="435" spans="1:28" s="295" customFormat="1">
      <c r="A435" s="287" t="s">
        <v>478</v>
      </c>
      <c r="B435" s="288">
        <f>1.2*1.2</f>
        <v>1.44</v>
      </c>
      <c r="C435" s="289">
        <v>2250</v>
      </c>
      <c r="D435" s="289">
        <f t="shared" si="255"/>
        <v>3240</v>
      </c>
      <c r="E435" s="290"/>
      <c r="F435" s="290">
        <v>3</v>
      </c>
      <c r="G435" s="290">
        <v>4</v>
      </c>
      <c r="H435" s="290"/>
      <c r="I435" s="290"/>
      <c r="J435" s="290"/>
      <c r="K435" s="290"/>
      <c r="L435" s="290"/>
      <c r="M435" s="290"/>
      <c r="N435" s="290"/>
      <c r="O435" s="290"/>
      <c r="P435" s="291"/>
      <c r="Q435" s="292">
        <f t="shared" si="256"/>
        <v>7</v>
      </c>
      <c r="R435" s="293">
        <f t="shared" si="257"/>
        <v>0</v>
      </c>
      <c r="S435" s="293">
        <f t="shared" si="258"/>
        <v>4.32</v>
      </c>
      <c r="T435" s="293">
        <f t="shared" si="259"/>
        <v>5.76</v>
      </c>
      <c r="U435" s="293">
        <f t="shared" si="260"/>
        <v>0</v>
      </c>
      <c r="V435" s="293">
        <f t="shared" si="261"/>
        <v>0</v>
      </c>
      <c r="W435" s="293">
        <f t="shared" si="262"/>
        <v>0</v>
      </c>
      <c r="X435" s="293">
        <f t="shared" si="263"/>
        <v>0</v>
      </c>
      <c r="Y435" s="293">
        <f t="shared" si="264"/>
        <v>0</v>
      </c>
      <c r="Z435" s="293">
        <f t="shared" si="265"/>
        <v>0</v>
      </c>
      <c r="AA435" s="293">
        <f t="shared" si="266"/>
        <v>0</v>
      </c>
      <c r="AB435" s="293">
        <f t="shared" si="267"/>
        <v>0</v>
      </c>
    </row>
    <row r="436" spans="1:28" s="295" customFormat="1">
      <c r="A436" s="287" t="s">
        <v>479</v>
      </c>
      <c r="B436" s="288">
        <f>1.2*1.2</f>
        <v>1.44</v>
      </c>
      <c r="C436" s="289">
        <v>2250</v>
      </c>
      <c r="D436" s="289">
        <f t="shared" si="255"/>
        <v>3240</v>
      </c>
      <c r="E436" s="290"/>
      <c r="F436" s="290">
        <v>8</v>
      </c>
      <c r="G436" s="290">
        <v>8</v>
      </c>
      <c r="H436" s="290"/>
      <c r="I436" s="290"/>
      <c r="J436" s="290"/>
      <c r="K436" s="290"/>
      <c r="L436" s="290"/>
      <c r="M436" s="290"/>
      <c r="N436" s="290"/>
      <c r="O436" s="290"/>
      <c r="P436" s="291"/>
      <c r="Q436" s="292">
        <f t="shared" si="256"/>
        <v>16</v>
      </c>
      <c r="R436" s="293">
        <f t="shared" si="257"/>
        <v>0</v>
      </c>
      <c r="S436" s="293"/>
      <c r="T436" s="293">
        <f t="shared" si="259"/>
        <v>11.52</v>
      </c>
      <c r="U436" s="293"/>
      <c r="V436" s="293"/>
      <c r="W436" s="293"/>
      <c r="X436" s="293"/>
      <c r="Y436" s="293"/>
      <c r="Z436" s="293"/>
      <c r="AA436" s="293"/>
      <c r="AB436" s="293"/>
    </row>
    <row r="437" spans="1:28" s="295" customFormat="1">
      <c r="A437" s="287" t="s">
        <v>481</v>
      </c>
      <c r="B437" s="288">
        <f>3.3*2.4</f>
        <v>7.919999999999999</v>
      </c>
      <c r="C437" s="289">
        <v>2250</v>
      </c>
      <c r="D437" s="289">
        <f t="shared" si="255"/>
        <v>17819.999999999996</v>
      </c>
      <c r="E437" s="290">
        <v>7</v>
      </c>
      <c r="F437" s="290"/>
      <c r="G437" s="290"/>
      <c r="H437" s="290"/>
      <c r="I437" s="290"/>
      <c r="J437" s="290"/>
      <c r="K437" s="290"/>
      <c r="L437" s="290"/>
      <c r="M437" s="290"/>
      <c r="N437" s="290"/>
      <c r="O437" s="290"/>
      <c r="P437" s="291"/>
      <c r="Q437" s="292">
        <f t="shared" si="256"/>
        <v>7</v>
      </c>
      <c r="R437" s="293">
        <f t="shared" si="257"/>
        <v>55.439999999999991</v>
      </c>
      <c r="S437" s="293">
        <f t="shared" si="258"/>
        <v>0</v>
      </c>
      <c r="T437" s="293">
        <f t="shared" si="259"/>
        <v>0</v>
      </c>
      <c r="U437" s="293">
        <f t="shared" si="260"/>
        <v>0</v>
      </c>
      <c r="V437" s="293">
        <f t="shared" si="261"/>
        <v>0</v>
      </c>
      <c r="W437" s="293">
        <f t="shared" si="262"/>
        <v>0</v>
      </c>
      <c r="X437" s="293">
        <f t="shared" si="263"/>
        <v>0</v>
      </c>
      <c r="Y437" s="293">
        <f t="shared" si="264"/>
        <v>0</v>
      </c>
      <c r="Z437" s="293">
        <f t="shared" si="265"/>
        <v>0</v>
      </c>
      <c r="AA437" s="293">
        <f t="shared" si="266"/>
        <v>0</v>
      </c>
      <c r="AB437" s="293">
        <f t="shared" si="267"/>
        <v>0</v>
      </c>
    </row>
    <row r="438" spans="1:28" s="295" customFormat="1">
      <c r="A438" s="287" t="s">
        <v>472</v>
      </c>
      <c r="B438" s="288">
        <f>2*0.6</f>
        <v>1.2</v>
      </c>
      <c r="C438" s="289">
        <v>2250</v>
      </c>
      <c r="D438" s="289">
        <f t="shared" si="255"/>
        <v>2700</v>
      </c>
      <c r="E438" s="290"/>
      <c r="F438" s="290"/>
      <c r="G438" s="290"/>
      <c r="H438" s="290"/>
      <c r="I438" s="290"/>
      <c r="J438" s="290"/>
      <c r="K438" s="290"/>
      <c r="L438" s="290"/>
      <c r="M438" s="290"/>
      <c r="N438" s="290"/>
      <c r="O438" s="290"/>
      <c r="P438" s="291"/>
      <c r="Q438" s="292">
        <f t="shared" si="256"/>
        <v>0</v>
      </c>
      <c r="R438" s="293">
        <f t="shared" si="257"/>
        <v>0</v>
      </c>
      <c r="S438" s="293">
        <f t="shared" si="258"/>
        <v>0</v>
      </c>
      <c r="T438" s="293">
        <f t="shared" si="259"/>
        <v>0</v>
      </c>
      <c r="U438" s="293">
        <f t="shared" si="260"/>
        <v>0</v>
      </c>
      <c r="V438" s="293">
        <f t="shared" si="261"/>
        <v>0</v>
      </c>
      <c r="W438" s="293">
        <f t="shared" si="262"/>
        <v>0</v>
      </c>
      <c r="X438" s="293">
        <f t="shared" si="263"/>
        <v>0</v>
      </c>
      <c r="Y438" s="293">
        <f t="shared" si="264"/>
        <v>0</v>
      </c>
      <c r="Z438" s="293">
        <f t="shared" si="265"/>
        <v>0</v>
      </c>
      <c r="AA438" s="293">
        <f t="shared" si="266"/>
        <v>0</v>
      </c>
      <c r="AB438" s="293">
        <f t="shared" si="267"/>
        <v>0</v>
      </c>
    </row>
    <row r="439" spans="1:28" s="295" customFormat="1">
      <c r="A439" s="287" t="s">
        <v>473</v>
      </c>
      <c r="B439" s="288">
        <f>0.7*0.6</f>
        <v>0.42</v>
      </c>
      <c r="C439" s="289">
        <v>2250</v>
      </c>
      <c r="D439" s="289">
        <f t="shared" si="255"/>
        <v>945</v>
      </c>
      <c r="E439" s="290"/>
      <c r="F439" s="290"/>
      <c r="G439" s="290"/>
      <c r="H439" s="290"/>
      <c r="I439" s="290"/>
      <c r="J439" s="290"/>
      <c r="K439" s="290"/>
      <c r="L439" s="290"/>
      <c r="M439" s="290"/>
      <c r="N439" s="290"/>
      <c r="O439" s="290"/>
      <c r="P439" s="291"/>
      <c r="Q439" s="292">
        <f t="shared" si="256"/>
        <v>0</v>
      </c>
      <c r="R439" s="293">
        <f t="shared" si="257"/>
        <v>0</v>
      </c>
      <c r="S439" s="293">
        <f t="shared" si="258"/>
        <v>0</v>
      </c>
      <c r="T439" s="293">
        <f t="shared" si="259"/>
        <v>0</v>
      </c>
      <c r="U439" s="293">
        <f t="shared" si="260"/>
        <v>0</v>
      </c>
      <c r="V439" s="293">
        <f t="shared" si="261"/>
        <v>0</v>
      </c>
      <c r="W439" s="293">
        <f t="shared" si="262"/>
        <v>0</v>
      </c>
      <c r="X439" s="293">
        <f t="shared" si="263"/>
        <v>0</v>
      </c>
      <c r="Y439" s="293">
        <f t="shared" si="264"/>
        <v>0</v>
      </c>
      <c r="Z439" s="293">
        <f t="shared" si="265"/>
        <v>0</v>
      </c>
      <c r="AA439" s="293">
        <f t="shared" si="266"/>
        <v>0</v>
      </c>
      <c r="AB439" s="293">
        <f t="shared" si="267"/>
        <v>0</v>
      </c>
    </row>
    <row r="440" spans="1:28" s="295" customFormat="1">
      <c r="A440" s="287" t="s">
        <v>474</v>
      </c>
      <c r="B440" s="288">
        <f>2*0.6</f>
        <v>1.2</v>
      </c>
      <c r="C440" s="289">
        <v>2250</v>
      </c>
      <c r="D440" s="289">
        <f t="shared" si="255"/>
        <v>2700</v>
      </c>
      <c r="E440" s="290"/>
      <c r="F440" s="290"/>
      <c r="G440" s="290"/>
      <c r="H440" s="290"/>
      <c r="I440" s="290"/>
      <c r="J440" s="290"/>
      <c r="K440" s="290"/>
      <c r="L440" s="290"/>
      <c r="M440" s="290"/>
      <c r="N440" s="290"/>
      <c r="O440" s="290"/>
      <c r="P440" s="291"/>
      <c r="Q440" s="292">
        <f t="shared" si="256"/>
        <v>0</v>
      </c>
      <c r="R440" s="293">
        <f t="shared" si="257"/>
        <v>0</v>
      </c>
      <c r="S440" s="293">
        <f t="shared" si="258"/>
        <v>0</v>
      </c>
      <c r="T440" s="293">
        <f t="shared" si="259"/>
        <v>0</v>
      </c>
      <c r="U440" s="293">
        <f t="shared" si="260"/>
        <v>0</v>
      </c>
      <c r="V440" s="293">
        <f t="shared" si="261"/>
        <v>0</v>
      </c>
      <c r="W440" s="293">
        <f t="shared" si="262"/>
        <v>0</v>
      </c>
      <c r="X440" s="293">
        <f t="shared" si="263"/>
        <v>0</v>
      </c>
      <c r="Y440" s="293">
        <f t="shared" si="264"/>
        <v>0</v>
      </c>
      <c r="Z440" s="293">
        <f t="shared" si="265"/>
        <v>0</v>
      </c>
      <c r="AA440" s="293">
        <f t="shared" si="266"/>
        <v>0</v>
      </c>
      <c r="AB440" s="293">
        <f t="shared" si="267"/>
        <v>0</v>
      </c>
    </row>
    <row r="441" spans="1:28" s="132" customFormat="1">
      <c r="A441" s="296"/>
      <c r="B441" s="135"/>
      <c r="C441" s="281"/>
      <c r="D441" s="281"/>
      <c r="E441" s="297"/>
      <c r="F441" s="298"/>
      <c r="G441" s="298"/>
      <c r="H441" s="298"/>
      <c r="I441" s="298"/>
      <c r="J441" s="298"/>
      <c r="K441" s="298"/>
      <c r="L441" s="298"/>
      <c r="M441" s="291"/>
      <c r="N441" s="291"/>
      <c r="O441" s="298"/>
      <c r="P441" s="299"/>
      <c r="Q441" s="300">
        <f t="shared" ref="Q441:Q442" si="308">SUM(E441:P441)</f>
        <v>0</v>
      </c>
      <c r="R441" s="301"/>
      <c r="S441" s="301"/>
      <c r="T441" s="301"/>
      <c r="U441" s="301">
        <f t="shared" si="260"/>
        <v>0</v>
      </c>
      <c r="V441" s="301">
        <f t="shared" si="261"/>
        <v>0</v>
      </c>
      <c r="W441" s="301">
        <f t="shared" si="262"/>
        <v>0</v>
      </c>
      <c r="X441" s="301">
        <f t="shared" si="263"/>
        <v>0</v>
      </c>
      <c r="Y441" s="301">
        <f t="shared" si="264"/>
        <v>0</v>
      </c>
      <c r="Z441" s="301">
        <f t="shared" si="265"/>
        <v>0</v>
      </c>
      <c r="AA441" s="301"/>
      <c r="AB441" s="301"/>
    </row>
    <row r="442" spans="1:28" s="132" customFormat="1">
      <c r="A442" s="296"/>
      <c r="B442" s="135"/>
      <c r="C442" s="281"/>
      <c r="D442" s="281"/>
      <c r="E442" s="297"/>
      <c r="F442" s="298"/>
      <c r="G442" s="298"/>
      <c r="H442" s="298"/>
      <c r="I442" s="298"/>
      <c r="J442" s="298"/>
      <c r="K442" s="298"/>
      <c r="L442" s="298"/>
      <c r="M442" s="291"/>
      <c r="N442" s="291"/>
      <c r="O442" s="298"/>
      <c r="P442" s="299"/>
      <c r="Q442" s="300">
        <f t="shared" si="308"/>
        <v>0</v>
      </c>
      <c r="R442" s="301"/>
      <c r="S442" s="301"/>
      <c r="T442" s="301"/>
      <c r="U442" s="301">
        <f t="shared" si="260"/>
        <v>0</v>
      </c>
      <c r="V442" s="301">
        <f t="shared" si="261"/>
        <v>0</v>
      </c>
      <c r="W442" s="301">
        <f t="shared" si="262"/>
        <v>0</v>
      </c>
      <c r="X442" s="301">
        <f t="shared" si="263"/>
        <v>0</v>
      </c>
      <c r="Y442" s="301">
        <f t="shared" si="264"/>
        <v>0</v>
      </c>
      <c r="Z442" s="301">
        <f t="shared" si="265"/>
        <v>0</v>
      </c>
      <c r="AA442" s="301"/>
      <c r="AB442" s="301"/>
    </row>
    <row r="443" spans="1:28" s="132" customFormat="1">
      <c r="A443" s="135"/>
      <c r="B443" s="300"/>
      <c r="C443" s="300"/>
      <c r="D443" s="300"/>
      <c r="E443" s="300">
        <f>SUM(E424:E442)</f>
        <v>13</v>
      </c>
      <c r="F443" s="300">
        <f t="shared" ref="F443:AB443" si="309">SUM(F426:F442)</f>
        <v>35</v>
      </c>
      <c r="G443" s="300">
        <f t="shared" si="309"/>
        <v>33</v>
      </c>
      <c r="H443" s="300">
        <f t="shared" si="309"/>
        <v>0</v>
      </c>
      <c r="I443" s="300">
        <f t="shared" si="309"/>
        <v>0</v>
      </c>
      <c r="J443" s="300">
        <f t="shared" si="309"/>
        <v>0</v>
      </c>
      <c r="K443" s="300">
        <f t="shared" si="309"/>
        <v>0</v>
      </c>
      <c r="L443" s="300">
        <f t="shared" si="309"/>
        <v>0</v>
      </c>
      <c r="M443" s="300">
        <f t="shared" si="309"/>
        <v>0</v>
      </c>
      <c r="N443" s="300">
        <f t="shared" si="309"/>
        <v>0</v>
      </c>
      <c r="O443" s="300">
        <f t="shared" si="309"/>
        <v>6</v>
      </c>
      <c r="P443" s="300">
        <f t="shared" si="309"/>
        <v>0</v>
      </c>
      <c r="Q443" s="300">
        <f t="shared" si="309"/>
        <v>85</v>
      </c>
      <c r="R443" s="300">
        <f t="shared" si="309"/>
        <v>71.168999999999997</v>
      </c>
      <c r="S443" s="300">
        <f t="shared" si="309"/>
        <v>62.987500000000004</v>
      </c>
      <c r="T443" s="300">
        <f t="shared" si="309"/>
        <v>70.277500000000003</v>
      </c>
      <c r="U443" s="300">
        <f t="shared" si="309"/>
        <v>0</v>
      </c>
      <c r="V443" s="300">
        <f t="shared" si="309"/>
        <v>0</v>
      </c>
      <c r="W443" s="300">
        <f t="shared" si="309"/>
        <v>0</v>
      </c>
      <c r="X443" s="300">
        <f t="shared" si="309"/>
        <v>0</v>
      </c>
      <c r="Y443" s="300">
        <f t="shared" si="309"/>
        <v>0</v>
      </c>
      <c r="Z443" s="300">
        <f t="shared" si="309"/>
        <v>0</v>
      </c>
      <c r="AA443" s="300">
        <f t="shared" si="309"/>
        <v>0</v>
      </c>
      <c r="AB443" s="300">
        <f t="shared" si="309"/>
        <v>17.307500000000001</v>
      </c>
    </row>
    <row r="447" spans="1:28" s="295" customFormat="1">
      <c r="A447" s="287" t="s">
        <v>480</v>
      </c>
      <c r="B447" s="288">
        <f>(22.5*6.1)-(1.8*1.6*12)</f>
        <v>102.69</v>
      </c>
      <c r="C447" s="289">
        <v>2250</v>
      </c>
      <c r="D447" s="289">
        <f t="shared" ref="D447:D449" si="310">B447*C447</f>
        <v>231052.5</v>
      </c>
      <c r="E447" s="290"/>
      <c r="F447" s="290"/>
      <c r="G447" s="290"/>
      <c r="H447" s="290"/>
      <c r="I447" s="290"/>
      <c r="J447" s="290"/>
      <c r="K447" s="290"/>
      <c r="L447" s="290"/>
      <c r="M447" s="290"/>
      <c r="N447" s="290"/>
      <c r="O447" s="290"/>
      <c r="P447" s="291"/>
      <c r="Q447" s="292">
        <f t="shared" ref="Q447:Q449" si="311">SUM(E447:P447)</f>
        <v>0</v>
      </c>
      <c r="R447" s="293">
        <f t="shared" ref="R447:R449" si="312">B447*E447</f>
        <v>0</v>
      </c>
      <c r="S447" s="293">
        <f t="shared" ref="S447:S449" si="313">B447*F447</f>
        <v>0</v>
      </c>
      <c r="T447" s="293">
        <f t="shared" ref="T447:T449" si="314">B447*G447</f>
        <v>0</v>
      </c>
      <c r="U447" s="293">
        <f t="shared" ref="U447:U449" si="315">B447*H447</f>
        <v>0</v>
      </c>
      <c r="V447" s="293">
        <f t="shared" ref="V447:V449" si="316">B447*I447</f>
        <v>0</v>
      </c>
      <c r="W447" s="293">
        <f t="shared" ref="W447:W449" si="317">B447*J447</f>
        <v>0</v>
      </c>
      <c r="X447" s="293">
        <f t="shared" ref="X447:X449" si="318">B447*K447</f>
        <v>0</v>
      </c>
      <c r="Y447" s="293">
        <f t="shared" ref="Y447:Y449" si="319">B447*L447</f>
        <v>0</v>
      </c>
      <c r="Z447" s="293">
        <f t="shared" ref="Z447:Z449" si="320">B447*M447</f>
        <v>0</v>
      </c>
      <c r="AA447" s="293">
        <f t="shared" ref="AA447:AA449" si="321">B447*N447</f>
        <v>0</v>
      </c>
      <c r="AB447" s="293">
        <f t="shared" ref="AB447:AB449" si="322">B447*O447</f>
        <v>0</v>
      </c>
    </row>
    <row r="448" spans="1:28" s="295" customFormat="1">
      <c r="A448" s="287" t="s">
        <v>478</v>
      </c>
      <c r="B448" s="288">
        <f>(6.531*11.485)-(1.2*1.2*7)</f>
        <v>64.928534999999997</v>
      </c>
      <c r="C448" s="289">
        <v>2250</v>
      </c>
      <c r="D448" s="289">
        <f t="shared" si="310"/>
        <v>146089.20374999999</v>
      </c>
      <c r="E448" s="290"/>
      <c r="F448" s="290"/>
      <c r="G448" s="290"/>
      <c r="H448" s="290"/>
      <c r="I448" s="290"/>
      <c r="J448" s="290"/>
      <c r="K448" s="290"/>
      <c r="L448" s="290"/>
      <c r="M448" s="290"/>
      <c r="N448" s="290"/>
      <c r="O448" s="290"/>
      <c r="P448" s="291"/>
      <c r="Q448" s="292">
        <f t="shared" si="311"/>
        <v>0</v>
      </c>
      <c r="R448" s="293">
        <f t="shared" si="312"/>
        <v>0</v>
      </c>
      <c r="S448" s="293">
        <f t="shared" si="313"/>
        <v>0</v>
      </c>
      <c r="T448" s="293">
        <f t="shared" si="314"/>
        <v>0</v>
      </c>
      <c r="U448" s="293">
        <f t="shared" si="315"/>
        <v>0</v>
      </c>
      <c r="V448" s="293">
        <f t="shared" si="316"/>
        <v>0</v>
      </c>
      <c r="W448" s="293">
        <f t="shared" si="317"/>
        <v>0</v>
      </c>
      <c r="X448" s="293">
        <f t="shared" si="318"/>
        <v>0</v>
      </c>
      <c r="Y448" s="293">
        <f t="shared" si="319"/>
        <v>0</v>
      </c>
      <c r="Z448" s="293">
        <f t="shared" si="320"/>
        <v>0</v>
      </c>
      <c r="AA448" s="293">
        <f t="shared" si="321"/>
        <v>0</v>
      </c>
      <c r="AB448" s="293">
        <f t="shared" si="322"/>
        <v>0</v>
      </c>
    </row>
    <row r="449" spans="1:28" s="295" customFormat="1">
      <c r="A449" s="287" t="s">
        <v>479</v>
      </c>
      <c r="B449" s="288">
        <f>(15.324*6.17)-(1.2*1.2*16)</f>
        <v>71.509080000000012</v>
      </c>
      <c r="C449" s="289">
        <v>2250</v>
      </c>
      <c r="D449" s="289">
        <f t="shared" si="310"/>
        <v>160895.43000000002</v>
      </c>
      <c r="E449" s="290"/>
      <c r="F449" s="290"/>
      <c r="G449" s="290"/>
      <c r="H449" s="290"/>
      <c r="I449" s="290"/>
      <c r="J449" s="290"/>
      <c r="K449" s="290"/>
      <c r="L449" s="290"/>
      <c r="M449" s="290"/>
      <c r="N449" s="290"/>
      <c r="O449" s="290"/>
      <c r="P449" s="291"/>
      <c r="Q449" s="292">
        <f t="shared" si="311"/>
        <v>0</v>
      </c>
      <c r="R449" s="293">
        <f t="shared" si="312"/>
        <v>0</v>
      </c>
      <c r="S449" s="293">
        <f t="shared" si="313"/>
        <v>0</v>
      </c>
      <c r="T449" s="293">
        <f t="shared" si="314"/>
        <v>0</v>
      </c>
      <c r="U449" s="293">
        <f t="shared" si="315"/>
        <v>0</v>
      </c>
      <c r="V449" s="293">
        <f t="shared" si="316"/>
        <v>0</v>
      </c>
      <c r="W449" s="293">
        <f t="shared" si="317"/>
        <v>0</v>
      </c>
      <c r="X449" s="293">
        <f t="shared" si="318"/>
        <v>0</v>
      </c>
      <c r="Y449" s="293">
        <f t="shared" si="319"/>
        <v>0</v>
      </c>
      <c r="Z449" s="293">
        <f t="shared" si="320"/>
        <v>0</v>
      </c>
      <c r="AA449" s="293">
        <f t="shared" si="321"/>
        <v>0</v>
      </c>
      <c r="AB449" s="293">
        <f t="shared" si="322"/>
        <v>0</v>
      </c>
    </row>
  </sheetData>
  <mergeCells count="13">
    <mergeCell ref="A272:O272"/>
    <mergeCell ref="A32:E32"/>
    <mergeCell ref="M393:N393"/>
    <mergeCell ref="A115:O115"/>
    <mergeCell ref="A166:O166"/>
    <mergeCell ref="A320:O320"/>
    <mergeCell ref="E391:O391"/>
    <mergeCell ref="A136:O136"/>
    <mergeCell ref="A189:O189"/>
    <mergeCell ref="A220:O220"/>
    <mergeCell ref="A242:O242"/>
    <mergeCell ref="A291:O291"/>
    <mergeCell ref="A351:O351"/>
  </mergeCells>
  <phoneticPr fontId="9" type="noConversion"/>
  <pageMargins left="0.75" right="0.75" top="1" bottom="1" header="0.5" footer="0.5"/>
  <pageSetup paperSize="9" orientation="portrait" r:id="rId1"/>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2"/>
  <sheetViews>
    <sheetView workbookViewId="0">
      <selection activeCell="B12" sqref="B12"/>
    </sheetView>
  </sheetViews>
  <sheetFormatPr defaultRowHeight="12.75"/>
  <cols>
    <col min="2" max="2" width="64" customWidth="1"/>
  </cols>
  <sheetData>
    <row r="2" spans="1:4" s="105" customFormat="1">
      <c r="B2" s="176"/>
      <c r="C2" s="269"/>
      <c r="D2" s="271"/>
    </row>
    <row r="3" spans="1:4" s="317" customFormat="1" ht="37.5" customHeight="1">
      <c r="A3" s="313"/>
      <c r="B3" s="314" t="s">
        <v>535</v>
      </c>
      <c r="C3" s="315" t="s">
        <v>536</v>
      </c>
      <c r="D3" s="316"/>
    </row>
    <row r="4" spans="1:4" s="317" customFormat="1" ht="37.5" customHeight="1">
      <c r="A4" s="313"/>
      <c r="B4" s="321" t="s">
        <v>537</v>
      </c>
      <c r="C4" s="318" t="s">
        <v>538</v>
      </c>
      <c r="D4" s="316"/>
    </row>
    <row r="5" spans="1:4" s="310" customFormat="1" ht="18" customHeight="1">
      <c r="B5" s="311" t="str">
        <f>'BOQ '!B48</f>
        <v>BILL No: 01 - PRELIMINARIES</v>
      </c>
      <c r="C5" s="318" t="s">
        <v>539</v>
      </c>
      <c r="D5" s="319"/>
    </row>
    <row r="6" spans="1:4" s="310" customFormat="1" ht="18" customHeight="1">
      <c r="B6" s="312" t="str">
        <f>'BOQ '!B86</f>
        <v>BILL No: 02 - GROUND WORKS</v>
      </c>
      <c r="C6" s="320" t="s">
        <v>526</v>
      </c>
      <c r="D6" s="319"/>
    </row>
    <row r="7" spans="1:4" s="310" customFormat="1" ht="18" customHeight="1">
      <c r="B7" s="312" t="str">
        <f>'BOQ '!B277</f>
        <v>BILL No: 03 - CONCRETE</v>
      </c>
      <c r="C7" s="320" t="s">
        <v>540</v>
      </c>
      <c r="D7" s="319"/>
    </row>
    <row r="8" spans="1:4" s="310" customFormat="1" ht="18" customHeight="1">
      <c r="B8" s="312" t="str">
        <f>'BOQ '!B317</f>
        <v>BILL No: 04 - MASONRY AND PLASTERING</v>
      </c>
      <c r="C8" s="320" t="s">
        <v>527</v>
      </c>
      <c r="D8" s="319"/>
    </row>
    <row r="9" spans="1:4" s="310" customFormat="1" ht="18" customHeight="1">
      <c r="B9" s="312" t="str">
        <f>'BOQ '!B360</f>
        <v>BILL No: 05 - METAL WORKS</v>
      </c>
      <c r="C9" s="320" t="s">
        <v>529</v>
      </c>
      <c r="D9" s="319"/>
    </row>
    <row r="10" spans="1:4" s="310" customFormat="1" ht="18" customHeight="1">
      <c r="B10" s="312" t="str">
        <f>'BOQ '!B395</f>
        <v>BILL N0: 06 - PARTITION WOOD WORKS</v>
      </c>
      <c r="C10" s="320" t="s">
        <v>530</v>
      </c>
      <c r="D10" s="319"/>
    </row>
    <row r="11" spans="1:4" s="310" customFormat="1" ht="18" customHeight="1">
      <c r="B11" s="312" t="str">
        <f>'BOQ '!B433</f>
        <v>BILL N0: 07 - CEILINGWORKS</v>
      </c>
      <c r="C11" s="320" t="s">
        <v>531</v>
      </c>
      <c r="D11" s="319"/>
    </row>
    <row r="12" spans="1:4" s="310" customFormat="1" ht="18" customHeight="1">
      <c r="B12" s="312" t="str">
        <f>'BOQ '!B481</f>
        <v>BILL N0: 08 -DOORS AND WINDOWS</v>
      </c>
      <c r="C12" s="320" t="s">
        <v>532</v>
      </c>
      <c r="D12" s="319"/>
    </row>
    <row r="13" spans="1:4" s="310" customFormat="1" ht="18" customHeight="1">
      <c r="B13" s="312" t="str">
        <f>'BOQ '!B531</f>
        <v>BILL No: 09 - FINISHES</v>
      </c>
      <c r="C13" s="320" t="s">
        <v>533</v>
      </c>
      <c r="D13" s="319"/>
    </row>
    <row r="14" spans="1:4" s="310" customFormat="1" ht="18" customHeight="1">
      <c r="B14" s="312" t="str">
        <f>'BOQ '!B610</f>
        <v>BILL No: 10 - HYDRAULICS AND DRAINAGE</v>
      </c>
      <c r="C14" s="320" t="s">
        <v>541</v>
      </c>
      <c r="D14" s="319"/>
    </row>
    <row r="15" spans="1:4" s="310" customFormat="1" ht="18" customHeight="1">
      <c r="B15" s="312" t="str">
        <f>'BOQ '!B651</f>
        <v>BILL No: 11 - PAINTING</v>
      </c>
      <c r="C15" s="320" t="s">
        <v>534</v>
      </c>
      <c r="D15" s="319"/>
    </row>
    <row r="16" spans="1:4" s="310" customFormat="1" ht="18" customHeight="1">
      <c r="B16" s="312" t="str">
        <f>'BOQ '!B729</f>
        <v>BILL No: 12 - ELECTRICAL INSTALLATION</v>
      </c>
      <c r="C16" s="320" t="s">
        <v>542</v>
      </c>
      <c r="D16" s="319"/>
    </row>
    <row r="17" spans="2:4" s="310" customFormat="1" ht="18" customHeight="1">
      <c r="B17" s="312" t="str">
        <f>'BOQ '!B768</f>
        <v>BILL No: 13 -  FIRE STOPPING &amp; FIRE PROTECTION</v>
      </c>
      <c r="C17" s="320" t="s">
        <v>543</v>
      </c>
      <c r="D17" s="319"/>
    </row>
    <row r="18" spans="2:4" s="105" customFormat="1">
      <c r="B18" s="176"/>
      <c r="C18" s="309"/>
      <c r="D18" s="271"/>
    </row>
    <row r="19" spans="2:4" s="105" customFormat="1">
      <c r="B19" s="176"/>
      <c r="C19" s="269"/>
      <c r="D19" s="271"/>
    </row>
    <row r="20" spans="2:4" s="105" customFormat="1">
      <c r="B20" s="176"/>
      <c r="C20" s="269"/>
      <c r="D20" s="271"/>
    </row>
    <row r="21" spans="2:4" s="105" customFormat="1">
      <c r="B21" s="176"/>
      <c r="C21" s="269"/>
      <c r="D21" s="271"/>
    </row>
    <row r="22" spans="2:4" s="105" customFormat="1">
      <c r="B22" s="176"/>
      <c r="C22" s="269"/>
      <c r="D22" s="271"/>
    </row>
  </sheetData>
  <pageMargins left="0.7" right="0.7" top="0.75" bottom="0.75" header="0.3" footer="0.3"/>
  <pageSetup paperSize="9" scale="97" fitToHeight="0" orientation="portrait" r:id="rId1"/>
  <headerFooter differentFirst="1">
    <oddHeader>&amp;L&amp;F</oddHeader>
    <oddFooter>&amp;R&amp;P&amp;N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I56"/>
  <sheetViews>
    <sheetView view="pageBreakPreview" topLeftCell="A11" zoomScaleNormal="100" zoomScaleSheetLayoutView="100" workbookViewId="0">
      <selection activeCell="A11" sqref="A11:XFD11"/>
    </sheetView>
  </sheetViews>
  <sheetFormatPr defaultColWidth="8.85546875" defaultRowHeight="88.5" customHeight="1"/>
  <cols>
    <col min="1" max="1" width="11.42578125" style="3" customWidth="1"/>
    <col min="2" max="2" width="44.28515625" style="1" customWidth="1"/>
    <col min="3" max="3" width="17" style="1" bestFit="1" customWidth="1"/>
    <col min="4" max="4" width="15.28515625" style="1" customWidth="1"/>
    <col min="5" max="5" width="16.7109375" style="1" customWidth="1"/>
    <col min="6" max="6" width="15.7109375" style="1" customWidth="1"/>
    <col min="7" max="7" width="16.85546875" style="1" customWidth="1"/>
    <col min="8" max="8" width="10" style="1" bestFit="1" customWidth="1"/>
    <col min="9" max="9" width="12.42578125" style="1" bestFit="1" customWidth="1"/>
    <col min="10" max="16384" width="8.85546875" style="1"/>
  </cols>
  <sheetData>
    <row r="1" spans="1:9" ht="17.100000000000001" customHeight="1"/>
    <row r="2" spans="1:9" ht="17.100000000000001" customHeight="1"/>
    <row r="3" spans="1:9" s="132" customFormat="1" ht="25.5">
      <c r="B3" s="277"/>
      <c r="C3" s="277"/>
      <c r="D3" s="277"/>
      <c r="E3" s="274"/>
      <c r="F3" s="274"/>
      <c r="G3" s="274"/>
      <c r="H3" s="274"/>
      <c r="I3" s="274"/>
    </row>
    <row r="4" spans="1:9" s="132" customFormat="1" ht="19.5" customHeight="1">
      <c r="B4" s="278"/>
      <c r="C4" s="278"/>
      <c r="D4" s="278"/>
      <c r="E4" s="274"/>
      <c r="F4" s="274"/>
      <c r="G4" s="274"/>
      <c r="H4" s="274"/>
      <c r="I4" s="274"/>
    </row>
    <row r="5" spans="1:9" s="132" customFormat="1" ht="19.5" customHeight="1">
      <c r="B5" s="278"/>
      <c r="C5" s="278"/>
      <c r="D5" s="278"/>
      <c r="E5" s="274"/>
      <c r="F5" s="274"/>
      <c r="G5" s="274"/>
      <c r="H5" s="274"/>
      <c r="I5" s="274"/>
    </row>
    <row r="6" spans="1:9" s="132" customFormat="1" ht="19.5" customHeight="1">
      <c r="A6" s="303"/>
      <c r="B6" s="303"/>
      <c r="C6" s="303"/>
      <c r="D6" s="178"/>
      <c r="E6" s="304"/>
      <c r="F6" s="274"/>
      <c r="G6" s="274"/>
      <c r="H6" s="274"/>
      <c r="I6" s="274"/>
    </row>
    <row r="7" spans="1:9" ht="17.100000000000001" customHeight="1">
      <c r="A7" s="305"/>
      <c r="B7" s="306"/>
      <c r="C7" s="307"/>
      <c r="D7" s="307"/>
      <c r="E7" s="307"/>
      <c r="F7" s="274"/>
      <c r="G7" s="274"/>
      <c r="H7" s="274"/>
      <c r="I7" s="274"/>
    </row>
    <row r="8" spans="1:9" ht="26.25" customHeight="1">
      <c r="A8" s="493" t="s">
        <v>502</v>
      </c>
      <c r="B8" s="493"/>
      <c r="C8" s="493"/>
      <c r="D8" s="493"/>
      <c r="E8" s="493"/>
      <c r="F8" s="102"/>
    </row>
    <row r="9" spans="1:9" s="3" customFormat="1" ht="26.25">
      <c r="A9" s="493"/>
      <c r="B9" s="493"/>
      <c r="C9" s="493"/>
      <c r="D9" s="493"/>
      <c r="E9" s="493"/>
      <c r="F9" s="16"/>
      <c r="G9" s="2"/>
      <c r="H9" s="2"/>
      <c r="I9" s="2"/>
    </row>
    <row r="10" spans="1:9" s="3" customFormat="1" ht="45" customHeight="1">
      <c r="A10" s="495" t="s">
        <v>268</v>
      </c>
      <c r="B10" s="495"/>
      <c r="C10" s="495"/>
      <c r="D10" s="495"/>
      <c r="E10" s="495"/>
      <c r="F10" s="2"/>
    </row>
    <row r="11" spans="1:9" s="24" customFormat="1" ht="33" customHeight="1">
      <c r="A11" s="496" t="s">
        <v>525</v>
      </c>
      <c r="B11" s="496"/>
      <c r="C11" s="496"/>
      <c r="D11" s="496"/>
      <c r="E11" s="496"/>
      <c r="F11" s="308"/>
    </row>
    <row r="12" spans="1:9" s="24" customFormat="1" ht="30">
      <c r="A12" s="251" t="s">
        <v>300</v>
      </c>
      <c r="B12" s="251" t="s">
        <v>301</v>
      </c>
      <c r="C12" s="252" t="s">
        <v>383</v>
      </c>
      <c r="D12" s="252" t="s">
        <v>382</v>
      </c>
      <c r="E12" s="252" t="s">
        <v>381</v>
      </c>
      <c r="F12" s="23"/>
    </row>
    <row r="13" spans="1:9" ht="15" customHeight="1">
      <c r="A13" s="242"/>
      <c r="B13" s="233"/>
      <c r="C13" s="234"/>
      <c r="D13" s="234"/>
      <c r="E13" s="243"/>
      <c r="F13" s="4"/>
    </row>
    <row r="14" spans="1:9" ht="15" customHeight="1">
      <c r="A14" s="244">
        <v>1</v>
      </c>
      <c r="B14" s="235" t="str">
        <f>+'BOQ '!B3</f>
        <v>PRELIMINARIES</v>
      </c>
      <c r="C14" s="234">
        <f>'BOQ '!E49</f>
        <v>0</v>
      </c>
      <c r="D14" s="234">
        <f>'BOQ '!F49</f>
        <v>0</v>
      </c>
      <c r="E14" s="234">
        <f>'BOQ '!G49</f>
        <v>0</v>
      </c>
      <c r="F14" s="4"/>
      <c r="G14" s="6"/>
    </row>
    <row r="15" spans="1:9" ht="15" customHeight="1">
      <c r="A15" s="244"/>
      <c r="B15" s="235"/>
      <c r="C15" s="234"/>
      <c r="D15" s="234"/>
      <c r="E15" s="234"/>
      <c r="F15" s="4"/>
      <c r="G15" s="6"/>
    </row>
    <row r="16" spans="1:9" ht="15" customHeight="1">
      <c r="A16" s="244">
        <v>2</v>
      </c>
      <c r="B16" s="235" t="str">
        <f>+'BOQ '!B51</f>
        <v>GROUND WORKS</v>
      </c>
      <c r="C16" s="236">
        <f>'BOQ '!E87</f>
        <v>0</v>
      </c>
      <c r="D16" s="236">
        <f>'BOQ '!F87</f>
        <v>0</v>
      </c>
      <c r="E16" s="236">
        <f>'BOQ '!G87</f>
        <v>0</v>
      </c>
      <c r="F16" s="4"/>
      <c r="G16" s="231"/>
    </row>
    <row r="17" spans="1:7" ht="15" customHeight="1">
      <c r="A17" s="244"/>
      <c r="B17" s="235"/>
      <c r="C17" s="236"/>
      <c r="D17" s="236"/>
      <c r="E17" s="236"/>
      <c r="F17" s="4"/>
      <c r="G17" s="232"/>
    </row>
    <row r="18" spans="1:7" ht="15" customHeight="1">
      <c r="A18" s="244">
        <v>3</v>
      </c>
      <c r="B18" s="237" t="str">
        <f>+'BOQ '!B89</f>
        <v>CONCRETE WORK</v>
      </c>
      <c r="C18" s="236">
        <f>'BOQ '!E278</f>
        <v>0</v>
      </c>
      <c r="D18" s="236">
        <f>'BOQ '!F278</f>
        <v>0</v>
      </c>
      <c r="E18" s="236">
        <f>'BOQ '!G278</f>
        <v>0</v>
      </c>
      <c r="F18" s="4"/>
      <c r="G18" s="232"/>
    </row>
    <row r="19" spans="1:7" ht="15" customHeight="1">
      <c r="A19" s="244"/>
      <c r="B19" s="237"/>
      <c r="C19" s="236"/>
      <c r="D19" s="307"/>
      <c r="E19" s="236"/>
      <c r="F19" s="4"/>
      <c r="G19" s="232"/>
    </row>
    <row r="20" spans="1:7" ht="15" customHeight="1">
      <c r="A20" s="244">
        <v>4</v>
      </c>
      <c r="B20" s="238" t="s">
        <v>4</v>
      </c>
      <c r="C20" s="236">
        <f>'BOQ '!E318</f>
        <v>0</v>
      </c>
      <c r="D20" s="236">
        <f>'BOQ '!F318</f>
        <v>0</v>
      </c>
      <c r="E20" s="236">
        <f>'BOQ '!G318</f>
        <v>0</v>
      </c>
      <c r="F20" s="4"/>
      <c r="G20" s="232"/>
    </row>
    <row r="21" spans="1:7" ht="15" customHeight="1">
      <c r="A21" s="244"/>
      <c r="B21" s="238"/>
      <c r="C21" s="236"/>
      <c r="D21" s="236"/>
      <c r="E21" s="236"/>
      <c r="F21" s="4"/>
      <c r="G21" s="232"/>
    </row>
    <row r="22" spans="1:7" ht="15" customHeight="1">
      <c r="A22" s="244">
        <v>5</v>
      </c>
      <c r="B22" s="238" t="s">
        <v>429</v>
      </c>
      <c r="C22" s="236">
        <f>'BOQ '!E361</f>
        <v>0</v>
      </c>
      <c r="D22" s="236">
        <f>'BOQ '!F361</f>
        <v>0</v>
      </c>
      <c r="E22" s="236">
        <f>'BOQ '!G361</f>
        <v>0</v>
      </c>
      <c r="F22" s="4"/>
      <c r="G22" s="232"/>
    </row>
    <row r="23" spans="1:7" ht="15" customHeight="1">
      <c r="A23" s="244"/>
      <c r="B23" s="238"/>
      <c r="C23" s="236"/>
      <c r="D23" s="236"/>
      <c r="E23" s="236"/>
      <c r="F23" s="4"/>
      <c r="G23" s="232"/>
    </row>
    <row r="24" spans="1:7" ht="15" customHeight="1">
      <c r="A24" s="244">
        <v>6</v>
      </c>
      <c r="B24" s="238" t="str">
        <f>'BOQ '!B363</f>
        <v>PARTITION WOOD  WORKS</v>
      </c>
      <c r="C24" s="236">
        <f>'BOQ '!E396</f>
        <v>0</v>
      </c>
      <c r="D24" s="236">
        <f>'BOQ '!F396</f>
        <v>0</v>
      </c>
      <c r="E24" s="236">
        <f>'BOQ '!G396</f>
        <v>0</v>
      </c>
      <c r="F24" s="4"/>
      <c r="G24" s="232"/>
    </row>
    <row r="25" spans="1:7" ht="15" customHeight="1">
      <c r="A25" s="244"/>
      <c r="B25" s="238"/>
      <c r="C25" s="236"/>
      <c r="D25" s="236"/>
      <c r="E25" s="236"/>
      <c r="F25" s="4"/>
      <c r="G25" s="232"/>
    </row>
    <row r="26" spans="1:7" ht="15" customHeight="1">
      <c r="A26" s="244">
        <v>7</v>
      </c>
      <c r="B26" s="238" t="s">
        <v>92</v>
      </c>
      <c r="C26" s="236">
        <f>'BOQ '!E434</f>
        <v>0</v>
      </c>
      <c r="D26" s="236">
        <f>'BOQ '!F434</f>
        <v>0</v>
      </c>
      <c r="E26" s="236">
        <f>'BOQ '!G434</f>
        <v>0</v>
      </c>
      <c r="F26" s="4"/>
      <c r="G26" s="232"/>
    </row>
    <row r="27" spans="1:7" ht="15" customHeight="1">
      <c r="A27" s="244"/>
      <c r="B27" s="238"/>
      <c r="C27" s="236"/>
      <c r="D27" s="236"/>
      <c r="E27" s="236"/>
      <c r="F27" s="4"/>
      <c r="G27" s="232"/>
    </row>
    <row r="28" spans="1:7" ht="15" customHeight="1">
      <c r="A28" s="244">
        <v>8</v>
      </c>
      <c r="B28" s="238" t="s">
        <v>5</v>
      </c>
      <c r="C28" s="236">
        <f>'BOQ '!E482</f>
        <v>0</v>
      </c>
      <c r="D28" s="236">
        <f>'BOQ '!F482</f>
        <v>0</v>
      </c>
      <c r="E28" s="236">
        <f>'BOQ '!G482</f>
        <v>0</v>
      </c>
      <c r="F28" s="4"/>
      <c r="G28" s="232"/>
    </row>
    <row r="29" spans="1:7" ht="15" customHeight="1">
      <c r="A29" s="244"/>
      <c r="B29" s="238"/>
      <c r="C29" s="236"/>
      <c r="D29" s="236"/>
      <c r="E29" s="236"/>
      <c r="F29" s="4"/>
      <c r="G29" s="232"/>
    </row>
    <row r="30" spans="1:7" ht="15" customHeight="1">
      <c r="A30" s="244">
        <v>9</v>
      </c>
      <c r="B30" s="238" t="str">
        <f>'BOQ '!B484</f>
        <v>FINISHES</v>
      </c>
      <c r="C30" s="236">
        <f>'BOQ '!E532</f>
        <v>0</v>
      </c>
      <c r="D30" s="236">
        <f>'BOQ '!F532</f>
        <v>0</v>
      </c>
      <c r="E30" s="236">
        <f>'BOQ '!G532</f>
        <v>0</v>
      </c>
      <c r="F30" s="4"/>
      <c r="G30" s="232"/>
    </row>
    <row r="31" spans="1:7" ht="15" customHeight="1">
      <c r="A31" s="244"/>
      <c r="B31" s="238"/>
      <c r="C31" s="236"/>
      <c r="D31" s="236"/>
      <c r="E31" s="236"/>
      <c r="F31" s="4"/>
      <c r="G31" s="232"/>
    </row>
    <row r="32" spans="1:7" ht="15" customHeight="1">
      <c r="A32" s="244">
        <v>10</v>
      </c>
      <c r="B32" s="238" t="s">
        <v>263</v>
      </c>
      <c r="C32" s="236">
        <f>'BOQ '!E611</f>
        <v>0</v>
      </c>
      <c r="D32" s="236">
        <f>'BOQ '!F611</f>
        <v>0</v>
      </c>
      <c r="E32" s="236">
        <f>'BOQ '!G611</f>
        <v>0</v>
      </c>
      <c r="F32" s="4"/>
      <c r="G32" s="232"/>
    </row>
    <row r="33" spans="1:7" ht="15" customHeight="1">
      <c r="A33" s="244"/>
      <c r="B33" s="238"/>
      <c r="C33" s="236"/>
      <c r="D33" s="236"/>
      <c r="E33" s="236"/>
      <c r="F33" s="4"/>
      <c r="G33" s="232"/>
    </row>
    <row r="34" spans="1:7" ht="15" customHeight="1">
      <c r="A34" s="244">
        <v>11</v>
      </c>
      <c r="B34" s="238" t="s">
        <v>264</v>
      </c>
      <c r="C34" s="236">
        <f>'BOQ '!E652</f>
        <v>0</v>
      </c>
      <c r="D34" s="236">
        <f>'BOQ '!F652</f>
        <v>0</v>
      </c>
      <c r="E34" s="236">
        <f>'BOQ '!G652</f>
        <v>0</v>
      </c>
      <c r="F34" s="4"/>
      <c r="G34" s="232"/>
    </row>
    <row r="35" spans="1:7" ht="15" customHeight="1">
      <c r="A35" s="244"/>
      <c r="B35" s="238"/>
      <c r="C35" s="236"/>
      <c r="D35" s="236"/>
      <c r="E35" s="236"/>
      <c r="F35" s="4"/>
      <c r="G35" s="232"/>
    </row>
    <row r="36" spans="1:7" ht="15" customHeight="1">
      <c r="A36" s="244">
        <v>12</v>
      </c>
      <c r="B36" s="238" t="s">
        <v>8</v>
      </c>
      <c r="C36" s="236">
        <f>'BOQ '!E730</f>
        <v>0</v>
      </c>
      <c r="D36" s="236">
        <f>'BOQ '!F730</f>
        <v>0</v>
      </c>
      <c r="E36" s="236">
        <f>'BOQ '!G730</f>
        <v>0</v>
      </c>
      <c r="F36" s="4"/>
      <c r="G36" s="232"/>
    </row>
    <row r="37" spans="1:7" ht="15" customHeight="1">
      <c r="A37" s="244"/>
      <c r="B37" s="238"/>
      <c r="C37" s="236"/>
      <c r="D37" s="236"/>
      <c r="E37" s="236"/>
      <c r="F37" s="4"/>
      <c r="G37" s="232"/>
    </row>
    <row r="38" spans="1:7" ht="15" customHeight="1">
      <c r="A38" s="244">
        <v>13</v>
      </c>
      <c r="B38" s="238" t="s">
        <v>517</v>
      </c>
      <c r="C38" s="236">
        <f>'BOQ '!E769</f>
        <v>0</v>
      </c>
      <c r="D38" s="236">
        <f>'BOQ '!F769</f>
        <v>0</v>
      </c>
      <c r="E38" s="236">
        <f>'BOQ '!G769</f>
        <v>0</v>
      </c>
      <c r="F38" s="4"/>
      <c r="G38" s="232"/>
    </row>
    <row r="39" spans="1:7" ht="15" customHeight="1">
      <c r="A39" s="245" t="s">
        <v>9</v>
      </c>
      <c r="B39" s="239" t="s">
        <v>9</v>
      </c>
      <c r="C39" s="240"/>
      <c r="D39" s="240"/>
      <c r="E39" s="240"/>
      <c r="F39" s="4"/>
      <c r="G39" s="232"/>
    </row>
    <row r="40" spans="1:7" ht="18" customHeight="1">
      <c r="A40" s="494" t="s">
        <v>311</v>
      </c>
      <c r="B40" s="494"/>
      <c r="C40" s="241">
        <f>SUM(C14:C39)</f>
        <v>0</v>
      </c>
      <c r="D40" s="241">
        <f>SUM(D14:D39)</f>
        <v>0</v>
      </c>
      <c r="E40" s="241">
        <f>SUM(E14:E39)</f>
        <v>0</v>
      </c>
      <c r="F40" s="4"/>
      <c r="G40" s="232"/>
    </row>
    <row r="41" spans="1:7" ht="18" customHeight="1">
      <c r="A41" s="494" t="s">
        <v>302</v>
      </c>
      <c r="B41" s="494"/>
      <c r="C41" s="241">
        <f t="shared" ref="C41:D41" si="0">C40*0.06</f>
        <v>0</v>
      </c>
      <c r="D41" s="241">
        <f t="shared" si="0"/>
        <v>0</v>
      </c>
      <c r="E41" s="241">
        <f>E40*0.06</f>
        <v>0</v>
      </c>
      <c r="F41" s="4"/>
      <c r="G41" s="232"/>
    </row>
    <row r="42" spans="1:7" ht="18" customHeight="1">
      <c r="A42" s="494" t="s">
        <v>10</v>
      </c>
      <c r="B42" s="494"/>
      <c r="C42" s="241">
        <f t="shared" ref="C42:D42" si="1">C41+C40</f>
        <v>0</v>
      </c>
      <c r="D42" s="241">
        <f t="shared" si="1"/>
        <v>0</v>
      </c>
      <c r="E42" s="241">
        <f>E41+E40</f>
        <v>0</v>
      </c>
      <c r="F42" s="4"/>
      <c r="G42" s="232"/>
    </row>
    <row r="43" spans="1:7" ht="33" customHeight="1">
      <c r="E43" s="131"/>
      <c r="F43" s="4"/>
      <c r="G43" s="232"/>
    </row>
    <row r="44" spans="1:7" ht="24" customHeight="1">
      <c r="E44" s="6"/>
      <c r="F44" s="4"/>
      <c r="G44" s="232"/>
    </row>
    <row r="45" spans="1:7" ht="19.5" customHeight="1">
      <c r="E45" s="6"/>
      <c r="F45" s="4"/>
      <c r="G45" s="232"/>
    </row>
    <row r="46" spans="1:7" ht="18.75" customHeight="1">
      <c r="E46" s="6"/>
      <c r="F46" s="4"/>
      <c r="G46" s="232"/>
    </row>
    <row r="47" spans="1:7" ht="18.75" customHeight="1">
      <c r="F47" s="4"/>
      <c r="G47" s="232"/>
    </row>
    <row r="48" spans="1:7" ht="15.75" customHeight="1">
      <c r="F48" s="4"/>
      <c r="G48" s="232"/>
    </row>
    <row r="49" spans="5:7" ht="20.100000000000001" customHeight="1">
      <c r="G49" s="142"/>
    </row>
    <row r="50" spans="5:7" ht="20.100000000000001" customHeight="1">
      <c r="G50" s="144"/>
    </row>
    <row r="51" spans="5:7" ht="20.100000000000001" customHeight="1">
      <c r="G51" s="143"/>
    </row>
    <row r="52" spans="5:7" ht="20.100000000000001" customHeight="1">
      <c r="G52" s="145"/>
    </row>
    <row r="53" spans="5:7" ht="20.100000000000001" customHeight="1"/>
    <row r="54" spans="5:7" ht="88.5" customHeight="1">
      <c r="E54" s="1">
        <v>7800000</v>
      </c>
      <c r="F54" s="1">
        <v>91.329737204227087</v>
      </c>
    </row>
    <row r="55" spans="5:7" ht="88.5" customHeight="1">
      <c r="F55" s="1">
        <v>8.670262795772917</v>
      </c>
    </row>
    <row r="56" spans="5:7" ht="88.5" customHeight="1">
      <c r="F56" s="1">
        <v>100</v>
      </c>
    </row>
  </sheetData>
  <mergeCells count="6">
    <mergeCell ref="A8:E9"/>
    <mergeCell ref="A41:B41"/>
    <mergeCell ref="A42:B42"/>
    <mergeCell ref="A40:B40"/>
    <mergeCell ref="A10:E10"/>
    <mergeCell ref="A11:E11"/>
  </mergeCells>
  <phoneticPr fontId="3" type="noConversion"/>
  <pageMargins left="1" right="1" top="1" bottom="1" header="0.5" footer="0.5"/>
  <pageSetup paperSize="9" scale="76" fitToHeight="0" orientation="portrait" r:id="rId1"/>
  <headerFooter differentFirst="1" alignWithMargins="0">
    <oddFooter xml:space="preserve">&amp;R&amp;F Page 1
</oddFooter>
  </headerFooter>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N773"/>
  <sheetViews>
    <sheetView showGridLines="0" tabSelected="1" view="pageBreakPreview" topLeftCell="B736" zoomScaleSheetLayoutView="100" workbookViewId="0">
      <selection activeCell="F755" sqref="F755"/>
    </sheetView>
  </sheetViews>
  <sheetFormatPr defaultColWidth="8.85546875" defaultRowHeight="12.75" outlineLevelRow="1"/>
  <cols>
    <col min="1" max="1" width="5.7109375" style="105" customWidth="1"/>
    <col min="2" max="2" width="36.5703125" style="176" customWidth="1"/>
    <col min="3" max="3" width="9.28515625" style="270" customWidth="1"/>
    <col min="4" max="4" width="6.85546875" style="115" customWidth="1"/>
    <col min="5" max="5" width="12.7109375" style="115" customWidth="1"/>
    <col min="6" max="6" width="12.7109375" style="269" customWidth="1"/>
    <col min="7" max="7" width="14.5703125" style="271" customWidth="1"/>
    <col min="8" max="9" width="10.28515625" style="105" bestFit="1" customWidth="1"/>
    <col min="10" max="10" width="9.28515625" style="105" bestFit="1" customWidth="1"/>
    <col min="11" max="11" width="10.28515625" style="105" bestFit="1" customWidth="1"/>
    <col min="12" max="12" width="11.28515625" style="105" bestFit="1" customWidth="1"/>
    <col min="13" max="16384" width="8.85546875" style="105"/>
  </cols>
  <sheetData>
    <row r="1" spans="1:7" ht="25.5">
      <c r="A1" s="103" t="s">
        <v>11</v>
      </c>
      <c r="B1" s="104" t="s">
        <v>0</v>
      </c>
      <c r="C1" s="253" t="s">
        <v>1</v>
      </c>
      <c r="D1" s="254" t="s">
        <v>2</v>
      </c>
      <c r="E1" s="255" t="s">
        <v>339</v>
      </c>
      <c r="F1" s="255" t="s">
        <v>340</v>
      </c>
      <c r="G1" s="255" t="s">
        <v>341</v>
      </c>
    </row>
    <row r="2" spans="1:7">
      <c r="A2" s="103"/>
      <c r="B2" s="322" t="s">
        <v>12</v>
      </c>
      <c r="C2" s="253"/>
      <c r="D2" s="254"/>
      <c r="E2" s="254"/>
      <c r="F2" s="323"/>
      <c r="G2" s="324"/>
    </row>
    <row r="3" spans="1:7">
      <c r="A3" s="325"/>
      <c r="B3" s="106" t="s">
        <v>100</v>
      </c>
      <c r="C3" s="326"/>
      <c r="D3" s="327"/>
      <c r="E3" s="327"/>
      <c r="F3" s="328"/>
      <c r="G3" s="256"/>
    </row>
    <row r="4" spans="1:7">
      <c r="A4" s="329"/>
      <c r="B4" s="107"/>
      <c r="C4" s="330"/>
      <c r="D4" s="331"/>
      <c r="E4" s="331"/>
      <c r="F4" s="332"/>
      <c r="G4" s="261"/>
    </row>
    <row r="5" spans="1:7">
      <c r="A5" s="108">
        <v>1.1000000000000001</v>
      </c>
      <c r="B5" s="109" t="s">
        <v>101</v>
      </c>
      <c r="C5" s="330"/>
      <c r="D5" s="331"/>
      <c r="E5" s="331"/>
      <c r="F5" s="332"/>
      <c r="G5" s="261"/>
    </row>
    <row r="6" spans="1:7">
      <c r="A6" s="110">
        <v>1</v>
      </c>
      <c r="B6" s="109" t="s">
        <v>102</v>
      </c>
      <c r="C6" s="330"/>
      <c r="D6" s="331"/>
      <c r="E6" s="331"/>
      <c r="F6" s="332"/>
      <c r="G6" s="261"/>
    </row>
    <row r="7" spans="1:7">
      <c r="A7" s="329"/>
      <c r="B7" s="333" t="s">
        <v>103</v>
      </c>
      <c r="C7" s="330"/>
      <c r="D7" s="331"/>
      <c r="E7" s="331"/>
      <c r="F7" s="332"/>
      <c r="G7" s="261"/>
    </row>
    <row r="8" spans="1:7">
      <c r="A8" s="329"/>
      <c r="B8" s="333" t="s">
        <v>104</v>
      </c>
      <c r="C8" s="330"/>
      <c r="D8" s="331"/>
      <c r="E8" s="331"/>
      <c r="F8" s="332"/>
      <c r="G8" s="261"/>
    </row>
    <row r="9" spans="1:7">
      <c r="A9" s="329"/>
      <c r="B9" s="333" t="s">
        <v>105</v>
      </c>
      <c r="C9" s="330"/>
      <c r="D9" s="331"/>
      <c r="E9" s="331"/>
      <c r="F9" s="332"/>
      <c r="G9" s="261"/>
    </row>
    <row r="10" spans="1:7">
      <c r="A10" s="329"/>
      <c r="B10" s="333" t="s">
        <v>106</v>
      </c>
      <c r="C10" s="330"/>
      <c r="D10" s="331"/>
      <c r="E10" s="331"/>
      <c r="F10" s="332"/>
      <c r="G10" s="261"/>
    </row>
    <row r="11" spans="1:7">
      <c r="A11" s="329"/>
      <c r="B11" s="333" t="s">
        <v>103</v>
      </c>
      <c r="C11" s="330"/>
      <c r="D11" s="331"/>
      <c r="E11" s="331"/>
      <c r="F11" s="332"/>
      <c r="G11" s="261"/>
    </row>
    <row r="12" spans="1:7">
      <c r="A12" s="329"/>
      <c r="B12" s="333" t="s">
        <v>107</v>
      </c>
      <c r="C12" s="330"/>
      <c r="D12" s="331"/>
      <c r="E12" s="331"/>
      <c r="F12" s="332"/>
      <c r="G12" s="261"/>
    </row>
    <row r="13" spans="1:7">
      <c r="A13" s="329"/>
      <c r="B13" s="333" t="s">
        <v>108</v>
      </c>
      <c r="C13" s="330"/>
      <c r="D13" s="331"/>
      <c r="E13" s="331"/>
      <c r="F13" s="332"/>
      <c r="G13" s="261"/>
    </row>
    <row r="14" spans="1:7">
      <c r="A14" s="329"/>
      <c r="B14" s="333" t="s">
        <v>109</v>
      </c>
      <c r="C14" s="330"/>
      <c r="D14" s="331"/>
      <c r="E14" s="331"/>
      <c r="F14" s="332"/>
      <c r="G14" s="261"/>
    </row>
    <row r="15" spans="1:7">
      <c r="A15" s="329"/>
      <c r="B15" s="333" t="s">
        <v>110</v>
      </c>
      <c r="C15" s="330"/>
      <c r="D15" s="331"/>
      <c r="E15" s="331"/>
      <c r="F15" s="332"/>
      <c r="G15" s="261"/>
    </row>
    <row r="16" spans="1:7">
      <c r="A16" s="329"/>
      <c r="B16" s="333" t="s">
        <v>112</v>
      </c>
      <c r="C16" s="330"/>
      <c r="D16" s="331"/>
      <c r="E16" s="331"/>
      <c r="F16" s="332"/>
      <c r="G16" s="261"/>
    </row>
    <row r="17" spans="1:7">
      <c r="A17" s="329"/>
      <c r="B17" s="333" t="s">
        <v>111</v>
      </c>
      <c r="C17" s="330"/>
      <c r="D17" s="331"/>
      <c r="E17" s="331"/>
      <c r="F17" s="332"/>
      <c r="G17" s="261"/>
    </row>
    <row r="18" spans="1:7">
      <c r="A18" s="329"/>
      <c r="B18" s="333"/>
      <c r="C18" s="330"/>
      <c r="D18" s="331"/>
      <c r="E18" s="331"/>
      <c r="F18" s="332"/>
      <c r="G18" s="261"/>
    </row>
    <row r="19" spans="1:7">
      <c r="A19" s="108">
        <v>1.2</v>
      </c>
      <c r="B19" s="109" t="s">
        <v>113</v>
      </c>
      <c r="C19" s="330"/>
      <c r="D19" s="331"/>
      <c r="E19" s="331"/>
      <c r="F19" s="332"/>
      <c r="G19" s="261"/>
    </row>
    <row r="20" spans="1:7" ht="63.75">
      <c r="A20" s="110">
        <v>1</v>
      </c>
      <c r="B20" s="333" t="s">
        <v>139</v>
      </c>
      <c r="C20" s="265">
        <v>1</v>
      </c>
      <c r="D20" s="114" t="s">
        <v>11</v>
      </c>
      <c r="E20" s="114"/>
      <c r="F20" s="114"/>
      <c r="G20" s="261"/>
    </row>
    <row r="21" spans="1:7">
      <c r="A21" s="329"/>
      <c r="B21" s="333"/>
      <c r="C21" s="334"/>
      <c r="D21" s="331"/>
      <c r="E21" s="114"/>
      <c r="F21" s="114"/>
      <c r="G21" s="261"/>
    </row>
    <row r="22" spans="1:7">
      <c r="A22" s="108">
        <v>1.3</v>
      </c>
      <c r="B22" s="109" t="s">
        <v>114</v>
      </c>
      <c r="C22" s="334"/>
      <c r="D22" s="331"/>
      <c r="E22" s="114"/>
      <c r="F22" s="114"/>
      <c r="G22" s="261"/>
    </row>
    <row r="23" spans="1:7">
      <c r="A23" s="110">
        <v>1</v>
      </c>
      <c r="B23" s="333" t="s">
        <v>115</v>
      </c>
      <c r="C23" s="334">
        <v>1</v>
      </c>
      <c r="D23" s="114" t="s">
        <v>91</v>
      </c>
      <c r="E23" s="114"/>
      <c r="F23" s="114"/>
      <c r="G23" s="261"/>
    </row>
    <row r="24" spans="1:7">
      <c r="A24" s="329"/>
      <c r="B24" s="333"/>
      <c r="C24" s="334"/>
      <c r="D24" s="331"/>
      <c r="E24" s="114"/>
      <c r="F24" s="114"/>
      <c r="G24" s="261"/>
    </row>
    <row r="25" spans="1:7">
      <c r="A25" s="108">
        <v>1.4</v>
      </c>
      <c r="B25" s="109" t="s">
        <v>116</v>
      </c>
      <c r="C25" s="334"/>
      <c r="D25" s="331"/>
      <c r="E25" s="114"/>
      <c r="F25" s="114"/>
      <c r="G25" s="261"/>
    </row>
    <row r="26" spans="1:7">
      <c r="A26" s="110">
        <v>1</v>
      </c>
      <c r="B26" s="333" t="s">
        <v>117</v>
      </c>
      <c r="C26" s="334">
        <v>1</v>
      </c>
      <c r="D26" s="114" t="s">
        <v>11</v>
      </c>
      <c r="E26" s="114"/>
      <c r="F26" s="114"/>
      <c r="G26" s="261"/>
    </row>
    <row r="27" spans="1:7">
      <c r="A27" s="329"/>
      <c r="B27" s="333"/>
      <c r="C27" s="334"/>
      <c r="D27" s="331"/>
      <c r="E27" s="114"/>
      <c r="F27" s="114"/>
      <c r="G27" s="261"/>
    </row>
    <row r="28" spans="1:7">
      <c r="A28" s="108">
        <v>1.5</v>
      </c>
      <c r="B28" s="109" t="s">
        <v>118</v>
      </c>
      <c r="C28" s="334"/>
      <c r="D28" s="331"/>
      <c r="E28" s="114"/>
      <c r="F28" s="114"/>
      <c r="G28" s="261"/>
    </row>
    <row r="29" spans="1:7" ht="25.5">
      <c r="A29" s="329"/>
      <c r="B29" s="333" t="s">
        <v>119</v>
      </c>
      <c r="C29" s="334">
        <v>1</v>
      </c>
      <c r="D29" s="114" t="s">
        <v>11</v>
      </c>
      <c r="E29" s="114"/>
      <c r="F29" s="114"/>
      <c r="G29" s="261"/>
    </row>
    <row r="30" spans="1:7">
      <c r="A30" s="329"/>
      <c r="B30" s="333"/>
      <c r="C30" s="334"/>
      <c r="D30" s="114"/>
      <c r="E30" s="114"/>
      <c r="F30" s="114"/>
      <c r="G30" s="261"/>
    </row>
    <row r="31" spans="1:7">
      <c r="A31" s="329"/>
      <c r="B31" s="333"/>
      <c r="C31" s="334"/>
      <c r="D31" s="114"/>
      <c r="E31" s="114"/>
      <c r="F31" s="262"/>
      <c r="G31" s="261"/>
    </row>
    <row r="32" spans="1:7">
      <c r="A32" s="329"/>
      <c r="B32" s="333"/>
      <c r="C32" s="334"/>
      <c r="D32" s="114"/>
      <c r="E32" s="114"/>
      <c r="F32" s="262"/>
      <c r="G32" s="261"/>
    </row>
    <row r="33" spans="1:7">
      <c r="A33" s="329"/>
      <c r="B33" s="333"/>
      <c r="C33" s="334"/>
      <c r="D33" s="114"/>
      <c r="E33" s="114"/>
      <c r="F33" s="262"/>
      <c r="G33" s="261"/>
    </row>
    <row r="34" spans="1:7">
      <c r="A34" s="329"/>
      <c r="B34" s="333"/>
      <c r="C34" s="334"/>
      <c r="D34" s="114"/>
      <c r="E34" s="114"/>
      <c r="F34" s="262"/>
      <c r="G34" s="261"/>
    </row>
    <row r="35" spans="1:7">
      <c r="A35" s="329"/>
      <c r="B35" s="333"/>
      <c r="C35" s="334"/>
      <c r="D35" s="114"/>
      <c r="E35" s="114"/>
      <c r="F35" s="262"/>
      <c r="G35" s="261"/>
    </row>
    <row r="36" spans="1:7">
      <c r="A36" s="329"/>
      <c r="B36" s="333"/>
      <c r="C36" s="334"/>
      <c r="D36" s="114"/>
      <c r="E36" s="114"/>
      <c r="F36" s="262"/>
      <c r="G36" s="261"/>
    </row>
    <row r="37" spans="1:7">
      <c r="A37" s="329"/>
      <c r="B37" s="333"/>
      <c r="C37" s="334"/>
      <c r="D37" s="114"/>
      <c r="E37" s="114"/>
      <c r="F37" s="262"/>
      <c r="G37" s="261"/>
    </row>
    <row r="38" spans="1:7">
      <c r="A38" s="329"/>
      <c r="B38" s="333"/>
      <c r="C38" s="334"/>
      <c r="D38" s="114"/>
      <c r="E38" s="114"/>
      <c r="F38" s="262"/>
      <c r="G38" s="261"/>
    </row>
    <row r="39" spans="1:7">
      <c r="A39" s="329"/>
      <c r="B39" s="333"/>
      <c r="C39" s="334"/>
      <c r="D39" s="114"/>
      <c r="E39" s="114"/>
      <c r="F39" s="262"/>
      <c r="G39" s="261"/>
    </row>
    <row r="40" spans="1:7">
      <c r="A40" s="329"/>
      <c r="B40" s="333"/>
      <c r="C40" s="334"/>
      <c r="D40" s="114"/>
      <c r="E40" s="114"/>
      <c r="F40" s="262"/>
      <c r="G40" s="261"/>
    </row>
    <row r="41" spans="1:7">
      <c r="A41" s="329"/>
      <c r="B41" s="333"/>
      <c r="C41" s="334"/>
      <c r="D41" s="114"/>
      <c r="E41" s="114"/>
      <c r="F41" s="262"/>
      <c r="G41" s="261"/>
    </row>
    <row r="42" spans="1:7">
      <c r="A42" s="329"/>
      <c r="B42" s="333"/>
      <c r="C42" s="334"/>
      <c r="D42" s="114"/>
      <c r="E42" s="114"/>
      <c r="F42" s="262"/>
      <c r="G42" s="261"/>
    </row>
    <row r="43" spans="1:7">
      <c r="A43" s="329"/>
      <c r="B43" s="333"/>
      <c r="C43" s="334"/>
      <c r="D43" s="114"/>
      <c r="E43" s="114"/>
      <c r="F43" s="262"/>
      <c r="G43" s="261"/>
    </row>
    <row r="44" spans="1:7">
      <c r="A44" s="329"/>
      <c r="B44" s="333"/>
      <c r="C44" s="334"/>
      <c r="D44" s="114"/>
      <c r="E44" s="114"/>
      <c r="F44" s="262"/>
      <c r="G44" s="261"/>
    </row>
    <row r="45" spans="1:7">
      <c r="A45" s="329"/>
      <c r="B45" s="333"/>
      <c r="C45" s="334"/>
      <c r="D45" s="114"/>
      <c r="E45" s="114"/>
      <c r="F45" s="262"/>
      <c r="G45" s="261"/>
    </row>
    <row r="46" spans="1:7">
      <c r="A46" s="329"/>
      <c r="B46" s="333"/>
      <c r="C46" s="334"/>
      <c r="D46" s="114"/>
      <c r="E46" s="114"/>
      <c r="F46" s="262"/>
      <c r="G46" s="261"/>
    </row>
    <row r="47" spans="1:7">
      <c r="A47" s="335"/>
      <c r="B47" s="336"/>
      <c r="C47" s="337"/>
      <c r="D47" s="338"/>
      <c r="E47" s="338"/>
      <c r="F47" s="338"/>
      <c r="G47" s="339"/>
    </row>
    <row r="48" spans="1:7" ht="17.25" customHeight="1">
      <c r="A48" s="116"/>
      <c r="B48" s="340" t="s">
        <v>120</v>
      </c>
      <c r="C48" s="265"/>
      <c r="D48" s="263"/>
      <c r="E48" s="256"/>
      <c r="F48" s="256"/>
      <c r="G48" s="256"/>
    </row>
    <row r="49" spans="1:7" ht="25.5" customHeight="1">
      <c r="A49" s="341"/>
      <c r="B49" s="499" t="s">
        <v>23</v>
      </c>
      <c r="C49" s="499"/>
      <c r="D49" s="342"/>
      <c r="E49" s="257"/>
      <c r="F49" s="257"/>
      <c r="G49" s="257"/>
    </row>
    <row r="50" spans="1:7" s="81" customFormat="1">
      <c r="A50" s="341"/>
      <c r="B50" s="343" t="s">
        <v>24</v>
      </c>
      <c r="C50" s="344"/>
      <c r="D50" s="338"/>
      <c r="E50" s="338"/>
      <c r="F50" s="338"/>
      <c r="G50" s="339"/>
    </row>
    <row r="51" spans="1:7" s="228" customFormat="1">
      <c r="A51" s="345"/>
      <c r="B51" s="346" t="s">
        <v>137</v>
      </c>
      <c r="C51" s="347"/>
      <c r="D51" s="348"/>
      <c r="E51" s="348"/>
      <c r="F51" s="349"/>
      <c r="G51" s="256"/>
    </row>
    <row r="52" spans="1:7" s="228" customFormat="1">
      <c r="A52" s="350">
        <v>2</v>
      </c>
      <c r="B52" s="351" t="s">
        <v>25</v>
      </c>
      <c r="C52" s="249"/>
      <c r="D52" s="331"/>
      <c r="E52" s="331"/>
      <c r="F52" s="262"/>
      <c r="G52" s="261"/>
    </row>
    <row r="53" spans="1:7" s="228" customFormat="1" ht="48">
      <c r="A53" s="352"/>
      <c r="B53" s="353" t="s">
        <v>153</v>
      </c>
      <c r="C53" s="249"/>
      <c r="D53" s="114"/>
      <c r="E53" s="114"/>
      <c r="F53" s="262"/>
      <c r="G53" s="261"/>
    </row>
    <row r="54" spans="1:7" s="228" customFormat="1">
      <c r="A54" s="350">
        <v>2.1</v>
      </c>
      <c r="B54" s="351" t="s">
        <v>13</v>
      </c>
      <c r="C54" s="249"/>
      <c r="D54" s="331"/>
      <c r="E54" s="331"/>
      <c r="F54" s="262"/>
      <c r="G54" s="261"/>
    </row>
    <row r="55" spans="1:7" s="228" customFormat="1" ht="51">
      <c r="A55" s="352"/>
      <c r="B55" s="354" t="s">
        <v>140</v>
      </c>
      <c r="C55" s="355">
        <f>349.907</f>
        <v>349.90699999999998</v>
      </c>
      <c r="D55" s="114" t="s">
        <v>39</v>
      </c>
      <c r="E55" s="114"/>
      <c r="F55" s="114"/>
      <c r="G55" s="261"/>
    </row>
    <row r="56" spans="1:7" s="228" customFormat="1">
      <c r="A56" s="352"/>
      <c r="B56" s="354"/>
      <c r="C56" s="249"/>
      <c r="D56" s="331"/>
      <c r="E56" s="331"/>
      <c r="F56" s="262"/>
      <c r="G56" s="261"/>
    </row>
    <row r="57" spans="1:7" s="228" customFormat="1">
      <c r="A57" s="350">
        <v>2.2000000000000002</v>
      </c>
      <c r="B57" s="351" t="s">
        <v>14</v>
      </c>
      <c r="C57" s="249"/>
      <c r="D57" s="263"/>
      <c r="E57" s="263"/>
      <c r="F57" s="262"/>
      <c r="G57" s="261"/>
    </row>
    <row r="58" spans="1:7" s="228" customFormat="1" ht="63.75">
      <c r="A58" s="352"/>
      <c r="B58" s="356" t="s">
        <v>154</v>
      </c>
      <c r="C58" s="249"/>
      <c r="D58" s="114"/>
      <c r="E58" s="114"/>
      <c r="F58" s="262"/>
      <c r="G58" s="261"/>
    </row>
    <row r="59" spans="1:7" s="228" customFormat="1">
      <c r="A59" s="357">
        <v>1</v>
      </c>
      <c r="B59" s="358" t="s">
        <v>372</v>
      </c>
      <c r="C59" s="249">
        <f>SUM(cal!F5:F30)</f>
        <v>177.8186025</v>
      </c>
      <c r="D59" s="114" t="s">
        <v>15</v>
      </c>
      <c r="E59" s="114"/>
      <c r="F59" s="114"/>
      <c r="G59" s="261"/>
    </row>
    <row r="60" spans="1:7" s="228" customFormat="1">
      <c r="A60" s="357"/>
      <c r="B60" s="358"/>
      <c r="C60" s="249"/>
      <c r="D60" s="264"/>
      <c r="E60" s="264"/>
      <c r="F60" s="262"/>
      <c r="G60" s="261"/>
    </row>
    <row r="61" spans="1:7" s="228" customFormat="1">
      <c r="A61" s="357"/>
      <c r="B61" s="358"/>
      <c r="C61" s="249"/>
      <c r="D61" s="264"/>
      <c r="E61" s="264"/>
      <c r="F61" s="262"/>
      <c r="G61" s="261"/>
    </row>
    <row r="62" spans="1:7" s="228" customFormat="1">
      <c r="A62" s="350">
        <v>2.2999999999999998</v>
      </c>
      <c r="B62" s="351" t="s">
        <v>17</v>
      </c>
      <c r="C62" s="359"/>
      <c r="D62" s="360"/>
      <c r="E62" s="360"/>
      <c r="F62" s="262"/>
      <c r="G62" s="261"/>
    </row>
    <row r="63" spans="1:7" s="228" customFormat="1" ht="38.25">
      <c r="A63" s="352"/>
      <c r="B63" s="354" t="s">
        <v>18</v>
      </c>
      <c r="C63" s="249"/>
      <c r="D63" s="114"/>
      <c r="E63" s="114"/>
      <c r="F63" s="262"/>
      <c r="G63" s="261"/>
    </row>
    <row r="64" spans="1:7" s="228" customFormat="1" ht="36">
      <c r="A64" s="357">
        <v>1</v>
      </c>
      <c r="B64" s="353" t="s">
        <v>142</v>
      </c>
      <c r="C64" s="249">
        <v>1</v>
      </c>
      <c r="D64" s="114" t="s">
        <v>11</v>
      </c>
      <c r="E64" s="114"/>
      <c r="F64" s="114"/>
      <c r="G64" s="261"/>
    </row>
    <row r="65" spans="1:7" s="228" customFormat="1">
      <c r="A65" s="357"/>
      <c r="B65" s="354"/>
      <c r="C65" s="249"/>
      <c r="D65" s="114"/>
      <c r="E65" s="114"/>
      <c r="F65" s="262"/>
      <c r="G65" s="261"/>
    </row>
    <row r="66" spans="1:7" s="228" customFormat="1">
      <c r="A66" s="350">
        <v>2.4</v>
      </c>
      <c r="B66" s="351" t="s">
        <v>19</v>
      </c>
      <c r="C66" s="249"/>
      <c r="D66" s="114"/>
      <c r="E66" s="114"/>
      <c r="F66" s="262"/>
      <c r="G66" s="261"/>
    </row>
    <row r="67" spans="1:7" s="228" customFormat="1" ht="24">
      <c r="A67" s="361"/>
      <c r="B67" s="353" t="s">
        <v>20</v>
      </c>
      <c r="C67" s="249"/>
      <c r="D67" s="114"/>
      <c r="E67" s="114"/>
      <c r="F67" s="262"/>
      <c r="G67" s="261"/>
    </row>
    <row r="68" spans="1:7" s="228" customFormat="1" ht="36">
      <c r="A68" s="362">
        <v>1</v>
      </c>
      <c r="B68" s="363" t="s">
        <v>155</v>
      </c>
      <c r="C68" s="249">
        <v>1</v>
      </c>
      <c r="D68" s="264" t="s">
        <v>152</v>
      </c>
      <c r="E68" s="114"/>
      <c r="F68" s="114"/>
      <c r="G68" s="261"/>
    </row>
    <row r="69" spans="1:7" s="228" customFormat="1">
      <c r="A69" s="357"/>
      <c r="B69" s="364"/>
      <c r="C69" s="249"/>
      <c r="D69" s="114"/>
      <c r="E69" s="114"/>
      <c r="F69" s="262"/>
      <c r="G69" s="261"/>
    </row>
    <row r="70" spans="1:7" s="228" customFormat="1">
      <c r="A70" s="350">
        <v>2.5</v>
      </c>
      <c r="B70" s="351" t="s">
        <v>21</v>
      </c>
      <c r="C70" s="249"/>
      <c r="D70" s="114"/>
      <c r="E70" s="114"/>
      <c r="F70" s="262"/>
      <c r="G70" s="261"/>
    </row>
    <row r="71" spans="1:7" s="228" customFormat="1" ht="25.5">
      <c r="A71" s="357"/>
      <c r="B71" s="354" t="s">
        <v>22</v>
      </c>
      <c r="C71" s="249">
        <v>1</v>
      </c>
      <c r="D71" s="114" t="s">
        <v>11</v>
      </c>
      <c r="E71" s="114"/>
      <c r="F71" s="114"/>
      <c r="G71" s="261"/>
    </row>
    <row r="72" spans="1:7" s="228" customFormat="1">
      <c r="A72" s="357"/>
      <c r="B72" s="354"/>
      <c r="C72" s="249"/>
      <c r="D72" s="114"/>
      <c r="E72" s="114"/>
      <c r="F72" s="262"/>
      <c r="G72" s="261"/>
    </row>
    <row r="73" spans="1:7" s="228" customFormat="1">
      <c r="A73" s="357"/>
      <c r="B73" s="354"/>
      <c r="C73" s="249"/>
      <c r="D73" s="114"/>
      <c r="E73" s="114"/>
      <c r="F73" s="262"/>
      <c r="G73" s="261"/>
    </row>
    <row r="74" spans="1:7" s="228" customFormat="1">
      <c r="A74" s="357"/>
      <c r="B74" s="354"/>
      <c r="C74" s="249"/>
      <c r="D74" s="114"/>
      <c r="E74" s="114"/>
      <c r="F74" s="262"/>
      <c r="G74" s="261"/>
    </row>
    <row r="75" spans="1:7" s="228" customFormat="1">
      <c r="A75" s="357"/>
      <c r="B75" s="354"/>
      <c r="C75" s="249"/>
      <c r="D75" s="114"/>
      <c r="E75" s="114"/>
      <c r="F75" s="262"/>
      <c r="G75" s="261"/>
    </row>
    <row r="76" spans="1:7" s="228" customFormat="1">
      <c r="A76" s="357"/>
      <c r="B76" s="354"/>
      <c r="C76" s="249"/>
      <c r="D76" s="114"/>
      <c r="E76" s="114"/>
      <c r="F76" s="262"/>
      <c r="G76" s="261"/>
    </row>
    <row r="77" spans="1:7" s="228" customFormat="1">
      <c r="A77" s="357"/>
      <c r="B77" s="354"/>
      <c r="C77" s="249"/>
      <c r="D77" s="114"/>
      <c r="E77" s="114"/>
      <c r="F77" s="262"/>
      <c r="G77" s="261"/>
    </row>
    <row r="78" spans="1:7" s="228" customFormat="1">
      <c r="A78" s="357"/>
      <c r="B78" s="354"/>
      <c r="C78" s="249"/>
      <c r="D78" s="114"/>
      <c r="E78" s="114"/>
      <c r="F78" s="262"/>
      <c r="G78" s="261"/>
    </row>
    <row r="79" spans="1:7" s="228" customFormat="1">
      <c r="A79" s="357"/>
      <c r="B79" s="354"/>
      <c r="C79" s="249"/>
      <c r="D79" s="114"/>
      <c r="E79" s="114"/>
      <c r="F79" s="262"/>
      <c r="G79" s="261"/>
    </row>
    <row r="80" spans="1:7" s="228" customFormat="1">
      <c r="A80" s="357"/>
      <c r="B80" s="354"/>
      <c r="C80" s="249"/>
      <c r="D80" s="114"/>
      <c r="E80" s="114"/>
      <c r="F80" s="262"/>
      <c r="G80" s="261"/>
    </row>
    <row r="81" spans="1:7" s="228" customFormat="1">
      <c r="A81" s="357"/>
      <c r="B81" s="354"/>
      <c r="C81" s="249"/>
      <c r="D81" s="114"/>
      <c r="E81" s="114"/>
      <c r="F81" s="262"/>
      <c r="G81" s="261"/>
    </row>
    <row r="82" spans="1:7" s="228" customFormat="1">
      <c r="A82" s="357"/>
      <c r="B82" s="354"/>
      <c r="C82" s="249"/>
      <c r="D82" s="114"/>
      <c r="E82" s="114"/>
      <c r="F82" s="262"/>
      <c r="G82" s="261"/>
    </row>
    <row r="83" spans="1:7" s="81" customFormat="1">
      <c r="A83" s="110"/>
      <c r="B83" s="112"/>
      <c r="C83" s="249"/>
      <c r="D83" s="114"/>
      <c r="E83" s="114"/>
      <c r="F83" s="262"/>
      <c r="G83" s="261"/>
    </row>
    <row r="84" spans="1:7" s="81" customFormat="1">
      <c r="A84" s="110"/>
      <c r="B84" s="112"/>
      <c r="C84" s="249"/>
      <c r="D84" s="114"/>
      <c r="E84" s="114"/>
      <c r="F84" s="262"/>
      <c r="G84" s="261"/>
    </row>
    <row r="85" spans="1:7" s="81" customFormat="1">
      <c r="A85" s="365"/>
      <c r="B85" s="366"/>
      <c r="C85" s="367"/>
      <c r="D85" s="368"/>
      <c r="E85" s="368"/>
      <c r="F85" s="368"/>
      <c r="G85" s="339"/>
    </row>
    <row r="86" spans="1:7" s="81" customFormat="1">
      <c r="A86" s="119"/>
      <c r="B86" s="369" t="s">
        <v>121</v>
      </c>
      <c r="C86" s="370"/>
      <c r="D86" s="266"/>
      <c r="E86" s="256"/>
      <c r="F86" s="256"/>
      <c r="G86" s="256"/>
    </row>
    <row r="87" spans="1:7" s="70" customFormat="1">
      <c r="A87" s="341"/>
      <c r="B87" s="499" t="s">
        <v>37</v>
      </c>
      <c r="C87" s="499"/>
      <c r="D87" s="342"/>
      <c r="E87" s="371"/>
      <c r="F87" s="371"/>
      <c r="G87" s="371"/>
    </row>
    <row r="88" spans="1:7" s="81" customFormat="1">
      <c r="A88" s="372"/>
      <c r="B88" s="322" t="s">
        <v>38</v>
      </c>
      <c r="C88" s="373"/>
      <c r="D88" s="254"/>
      <c r="E88" s="254"/>
      <c r="F88" s="254"/>
      <c r="G88" s="324"/>
    </row>
    <row r="89" spans="1:7" s="81" customFormat="1">
      <c r="A89" s="374"/>
      <c r="B89" s="106" t="s">
        <v>3</v>
      </c>
      <c r="C89" s="259"/>
      <c r="D89" s="260"/>
      <c r="E89" s="260"/>
      <c r="F89" s="260"/>
      <c r="G89" s="256"/>
    </row>
    <row r="90" spans="1:7" s="81" customFormat="1">
      <c r="A90" s="108">
        <v>3.1</v>
      </c>
      <c r="B90" s="109" t="s">
        <v>25</v>
      </c>
      <c r="C90" s="249"/>
      <c r="D90" s="114"/>
      <c r="E90" s="114"/>
      <c r="F90" s="114"/>
      <c r="G90" s="261"/>
    </row>
    <row r="91" spans="1:7" s="81" customFormat="1" ht="65.25" customHeight="1">
      <c r="A91" s="116"/>
      <c r="B91" s="112" t="s">
        <v>26</v>
      </c>
      <c r="C91" s="249"/>
      <c r="D91" s="114"/>
      <c r="E91" s="114"/>
      <c r="F91" s="114"/>
      <c r="G91" s="261"/>
    </row>
    <row r="92" spans="1:7" s="81" customFormat="1" ht="38.25">
      <c r="A92" s="116"/>
      <c r="B92" s="112" t="s">
        <v>27</v>
      </c>
      <c r="C92" s="249"/>
      <c r="D92" s="114"/>
      <c r="E92" s="114"/>
      <c r="F92" s="114"/>
      <c r="G92" s="261"/>
    </row>
    <row r="93" spans="1:7" s="81" customFormat="1" ht="38.25">
      <c r="A93" s="116"/>
      <c r="B93" s="112" t="s">
        <v>28</v>
      </c>
      <c r="C93" s="249"/>
      <c r="D93" s="114"/>
      <c r="E93" s="114"/>
      <c r="F93" s="114"/>
      <c r="G93" s="261"/>
    </row>
    <row r="94" spans="1:7" s="81" customFormat="1" ht="10.5" customHeight="1">
      <c r="A94" s="116"/>
      <c r="B94" s="112"/>
      <c r="C94" s="249"/>
      <c r="D94" s="114"/>
      <c r="E94" s="114"/>
      <c r="F94" s="114"/>
      <c r="G94" s="261"/>
    </row>
    <row r="95" spans="1:7" s="81" customFormat="1">
      <c r="A95" s="108">
        <v>3.2</v>
      </c>
      <c r="B95" s="109" t="s">
        <v>29</v>
      </c>
      <c r="C95" s="249"/>
      <c r="D95" s="114"/>
      <c r="E95" s="114"/>
      <c r="F95" s="114"/>
      <c r="G95" s="261"/>
    </row>
    <row r="96" spans="1:7" s="81" customFormat="1" ht="25.5">
      <c r="A96" s="248"/>
      <c r="B96" s="375" t="s">
        <v>143</v>
      </c>
      <c r="C96" s="249"/>
      <c r="D96" s="114"/>
      <c r="E96" s="114"/>
      <c r="F96" s="114"/>
      <c r="G96" s="261"/>
    </row>
    <row r="97" spans="1:7" s="81" customFormat="1">
      <c r="A97" s="248"/>
      <c r="B97" s="375"/>
      <c r="C97" s="249"/>
      <c r="D97" s="114"/>
      <c r="E97" s="114"/>
      <c r="F97" s="114"/>
      <c r="G97" s="261"/>
    </row>
    <row r="98" spans="1:7" s="81" customFormat="1" ht="25.5">
      <c r="A98" s="376">
        <v>1</v>
      </c>
      <c r="B98" s="375" t="s">
        <v>337</v>
      </c>
      <c r="C98" s="249">
        <f>cal!G26+cal!G27+cal!G29</f>
        <v>7.5184387500000014</v>
      </c>
      <c r="D98" s="114" t="s">
        <v>15</v>
      </c>
      <c r="E98" s="114"/>
      <c r="F98" s="114"/>
      <c r="G98" s="261"/>
    </row>
    <row r="99" spans="1:7" s="81" customFormat="1">
      <c r="A99" s="376"/>
      <c r="B99" s="375"/>
      <c r="C99" s="249"/>
      <c r="D99" s="114"/>
      <c r="E99" s="114"/>
      <c r="F99" s="262"/>
      <c r="G99" s="261"/>
    </row>
    <row r="100" spans="1:7" s="81" customFormat="1">
      <c r="A100" s="108">
        <v>3.3</v>
      </c>
      <c r="B100" s="109" t="s">
        <v>146</v>
      </c>
      <c r="C100" s="249"/>
      <c r="D100" s="114"/>
      <c r="E100" s="114"/>
      <c r="F100" s="262"/>
      <c r="G100" s="261"/>
    </row>
    <row r="101" spans="1:7" s="81" customFormat="1">
      <c r="A101" s="110"/>
      <c r="B101" s="501" t="s">
        <v>147</v>
      </c>
      <c r="C101" s="249"/>
      <c r="D101" s="114"/>
      <c r="E101" s="114"/>
      <c r="F101" s="262"/>
      <c r="G101" s="261"/>
    </row>
    <row r="102" spans="1:7" s="81" customFormat="1">
      <c r="A102" s="116"/>
      <c r="B102" s="501"/>
      <c r="C102" s="249"/>
      <c r="D102" s="114"/>
      <c r="E102" s="114"/>
      <c r="F102" s="262"/>
      <c r="G102" s="261"/>
    </row>
    <row r="103" spans="1:7" s="81" customFormat="1" ht="10.5" customHeight="1">
      <c r="A103" s="116"/>
      <c r="B103" s="175"/>
      <c r="C103" s="249"/>
      <c r="D103" s="114"/>
      <c r="E103" s="114"/>
      <c r="F103" s="262"/>
      <c r="G103" s="261"/>
    </row>
    <row r="104" spans="1:7" s="81" customFormat="1" ht="25.5">
      <c r="A104" s="110">
        <v>1</v>
      </c>
      <c r="B104" s="175" t="s">
        <v>177</v>
      </c>
      <c r="C104" s="249">
        <f>C98/0.05</f>
        <v>150.36877500000003</v>
      </c>
      <c r="D104" s="114" t="s">
        <v>39</v>
      </c>
      <c r="E104" s="114"/>
      <c r="F104" s="114"/>
      <c r="G104" s="261"/>
    </row>
    <row r="105" spans="1:7" s="81" customFormat="1" ht="8.25" customHeight="1">
      <c r="A105" s="116"/>
      <c r="B105" s="175"/>
      <c r="C105" s="249"/>
      <c r="D105" s="114"/>
      <c r="E105" s="114"/>
      <c r="F105" s="262"/>
      <c r="G105" s="261"/>
    </row>
    <row r="106" spans="1:7" s="81" customFormat="1">
      <c r="A106" s="377">
        <v>3.4</v>
      </c>
      <c r="B106" s="378" t="s">
        <v>30</v>
      </c>
      <c r="C106" s="249"/>
      <c r="D106" s="114"/>
      <c r="E106" s="114"/>
      <c r="F106" s="262"/>
      <c r="G106" s="261"/>
    </row>
    <row r="107" spans="1:7" s="81" customFormat="1">
      <c r="A107" s="116" t="s">
        <v>9</v>
      </c>
      <c r="B107" s="379" t="s">
        <v>31</v>
      </c>
      <c r="C107" s="249"/>
      <c r="D107" s="114"/>
      <c r="E107" s="114"/>
      <c r="F107" s="262"/>
      <c r="G107" s="261"/>
    </row>
    <row r="108" spans="1:7" s="81" customFormat="1" ht="13.5" customHeight="1">
      <c r="A108" s="116" t="s">
        <v>122</v>
      </c>
      <c r="B108" s="109" t="s">
        <v>32</v>
      </c>
      <c r="C108" s="249"/>
      <c r="D108" s="114"/>
      <c r="E108" s="114"/>
      <c r="F108" s="262"/>
      <c r="G108" s="261"/>
    </row>
    <row r="109" spans="1:7" s="81" customFormat="1">
      <c r="A109" s="110">
        <v>1</v>
      </c>
      <c r="B109" s="113" t="s">
        <v>482</v>
      </c>
      <c r="C109" s="249">
        <f>cal!H26</f>
        <v>44.765727500000004</v>
      </c>
      <c r="D109" s="114" t="s">
        <v>15</v>
      </c>
      <c r="E109" s="114"/>
      <c r="F109" s="114"/>
      <c r="G109" s="261"/>
    </row>
    <row r="110" spans="1:7" s="81" customFormat="1">
      <c r="A110" s="110">
        <v>2</v>
      </c>
      <c r="B110" s="113" t="s">
        <v>398</v>
      </c>
      <c r="C110" s="249">
        <f>cal!H27+cal!H29</f>
        <v>16.96716</v>
      </c>
      <c r="D110" s="114" t="s">
        <v>15</v>
      </c>
      <c r="E110" s="114"/>
      <c r="F110" s="114"/>
      <c r="G110" s="261"/>
    </row>
    <row r="111" spans="1:7" s="81" customFormat="1" ht="13.5" customHeight="1">
      <c r="A111" s="110">
        <v>3</v>
      </c>
      <c r="B111" s="380" t="s">
        <v>484</v>
      </c>
      <c r="C111" s="249">
        <f>cal!H37</f>
        <v>8.7749999999999995E-2</v>
      </c>
      <c r="D111" s="114" t="s">
        <v>15</v>
      </c>
      <c r="E111" s="114"/>
      <c r="F111" s="114"/>
      <c r="G111" s="261"/>
    </row>
    <row r="112" spans="1:7" s="81" customFormat="1" ht="13.5" customHeight="1">
      <c r="A112" s="110">
        <v>4</v>
      </c>
      <c r="B112" s="380" t="s">
        <v>388</v>
      </c>
      <c r="C112" s="249">
        <f>cal!H54</f>
        <v>1.4864999999999999</v>
      </c>
      <c r="D112" s="114" t="s">
        <v>15</v>
      </c>
      <c r="E112" s="114"/>
      <c r="F112" s="114"/>
      <c r="G112" s="261"/>
    </row>
    <row r="113" spans="1:9" s="81" customFormat="1" ht="13.5" customHeight="1">
      <c r="A113" s="110">
        <v>5</v>
      </c>
      <c r="B113" s="380" t="s">
        <v>285</v>
      </c>
      <c r="C113" s="249">
        <f>cal!H57</f>
        <v>1.62</v>
      </c>
      <c r="D113" s="114" t="s">
        <v>15</v>
      </c>
      <c r="E113" s="114"/>
      <c r="F113" s="114"/>
      <c r="G113" s="261"/>
    </row>
    <row r="114" spans="1:9" s="81" customFormat="1">
      <c r="A114" s="110"/>
      <c r="B114" s="113"/>
      <c r="C114" s="249"/>
      <c r="D114" s="114"/>
      <c r="E114" s="114"/>
      <c r="F114" s="114"/>
      <c r="G114" s="261"/>
    </row>
    <row r="115" spans="1:9" s="115" customFormat="1">
      <c r="A115" s="121" t="s">
        <v>123</v>
      </c>
      <c r="B115" s="109" t="s">
        <v>209</v>
      </c>
      <c r="C115" s="249"/>
      <c r="D115" s="114"/>
      <c r="E115" s="114"/>
      <c r="F115" s="114"/>
      <c r="G115" s="261"/>
      <c r="I115" s="81"/>
    </row>
    <row r="116" spans="1:9" s="81" customFormat="1" ht="13.5" customHeight="1">
      <c r="A116" s="110">
        <v>1</v>
      </c>
      <c r="B116" s="380" t="s">
        <v>388</v>
      </c>
      <c r="C116" s="249">
        <f>cal!H76</f>
        <v>6.2556874999999996</v>
      </c>
      <c r="D116" s="114" t="s">
        <v>15</v>
      </c>
      <c r="E116" s="114"/>
      <c r="F116" s="114"/>
      <c r="G116" s="261"/>
    </row>
    <row r="117" spans="1:9" s="81" customFormat="1" ht="13.5" customHeight="1">
      <c r="A117" s="110">
        <v>2</v>
      </c>
      <c r="B117" s="380" t="s">
        <v>396</v>
      </c>
      <c r="C117" s="249">
        <f>cal!H81</f>
        <v>1.7899999999999998</v>
      </c>
      <c r="D117" s="114" t="s">
        <v>15</v>
      </c>
      <c r="E117" s="114"/>
      <c r="F117" s="114"/>
      <c r="G117" s="261"/>
    </row>
    <row r="118" spans="1:9" s="81" customFormat="1" ht="13.5" customHeight="1">
      <c r="A118" s="110">
        <v>3</v>
      </c>
      <c r="B118" s="380" t="s">
        <v>285</v>
      </c>
      <c r="C118" s="249">
        <f>cal!H85</f>
        <v>3.1230000000000002</v>
      </c>
      <c r="D118" s="114" t="s">
        <v>15</v>
      </c>
      <c r="E118" s="114"/>
      <c r="F118" s="114"/>
      <c r="G118" s="261"/>
    </row>
    <row r="119" spans="1:9" s="81" customFormat="1" ht="13.5" customHeight="1">
      <c r="A119" s="110"/>
      <c r="B119" s="380"/>
      <c r="C119" s="249"/>
      <c r="D119" s="114"/>
      <c r="E119" s="114"/>
      <c r="F119" s="114"/>
      <c r="G119" s="261"/>
    </row>
    <row r="120" spans="1:9" s="115" customFormat="1">
      <c r="A120" s="121" t="s">
        <v>124</v>
      </c>
      <c r="B120" s="109" t="s">
        <v>210</v>
      </c>
      <c r="C120" s="249"/>
      <c r="D120" s="114"/>
      <c r="E120" s="114"/>
      <c r="F120" s="114"/>
      <c r="G120" s="261"/>
      <c r="I120" s="81"/>
    </row>
    <row r="121" spans="1:9" s="81" customFormat="1" ht="10.5" customHeight="1">
      <c r="A121" s="110">
        <v>1</v>
      </c>
      <c r="B121" s="113" t="s">
        <v>397</v>
      </c>
      <c r="C121" s="249">
        <f>cal!H100+cal!H113</f>
        <v>56.672621500000005</v>
      </c>
      <c r="D121" s="114" t="s">
        <v>15</v>
      </c>
      <c r="E121" s="114"/>
      <c r="F121" s="114"/>
      <c r="G121" s="261"/>
    </row>
    <row r="122" spans="1:9" s="81" customFormat="1">
      <c r="A122" s="110">
        <v>2</v>
      </c>
      <c r="B122" s="380" t="s">
        <v>388</v>
      </c>
      <c r="C122" s="249">
        <f>cal!H127</f>
        <v>6.2556874999999996</v>
      </c>
      <c r="D122" s="114" t="s">
        <v>15</v>
      </c>
      <c r="E122" s="114"/>
      <c r="F122" s="114"/>
      <c r="G122" s="261"/>
    </row>
    <row r="123" spans="1:9" s="81" customFormat="1" ht="13.5" customHeight="1">
      <c r="A123" s="110">
        <v>3</v>
      </c>
      <c r="B123" s="380" t="s">
        <v>396</v>
      </c>
      <c r="C123" s="249">
        <f>cal!H132</f>
        <v>1.189775</v>
      </c>
      <c r="D123" s="114" t="s">
        <v>15</v>
      </c>
      <c r="E123" s="114"/>
      <c r="F123" s="114"/>
      <c r="G123" s="261"/>
    </row>
    <row r="124" spans="1:9" s="81" customFormat="1" ht="13.5" customHeight="1">
      <c r="A124" s="110">
        <v>4</v>
      </c>
      <c r="B124" s="380" t="s">
        <v>285</v>
      </c>
      <c r="C124" s="249">
        <f>cal!H85</f>
        <v>3.1230000000000002</v>
      </c>
      <c r="D124" s="114" t="s">
        <v>15</v>
      </c>
      <c r="E124" s="114"/>
      <c r="F124" s="114"/>
      <c r="G124" s="261"/>
    </row>
    <row r="125" spans="1:9" s="81" customFormat="1">
      <c r="A125" s="110"/>
      <c r="B125" s="175"/>
      <c r="C125" s="249"/>
      <c r="D125" s="114"/>
      <c r="E125" s="114"/>
      <c r="F125" s="114"/>
      <c r="G125" s="261"/>
    </row>
    <row r="126" spans="1:9" s="115" customFormat="1">
      <c r="A126" s="381" t="s">
        <v>211</v>
      </c>
      <c r="B126" s="109" t="s">
        <v>483</v>
      </c>
      <c r="C126" s="249"/>
      <c r="D126" s="114"/>
      <c r="E126" s="114"/>
      <c r="F126" s="114"/>
      <c r="G126" s="261"/>
      <c r="I126" s="81"/>
    </row>
    <row r="127" spans="1:9" s="81" customFormat="1" ht="10.5" customHeight="1">
      <c r="A127" s="110">
        <v>1</v>
      </c>
      <c r="B127" s="113" t="s">
        <v>397</v>
      </c>
      <c r="C127" s="249">
        <f>cal!H148+cal!H160</f>
        <v>56.672621500000005</v>
      </c>
      <c r="D127" s="114" t="s">
        <v>15</v>
      </c>
      <c r="E127" s="114"/>
      <c r="F127" s="114"/>
      <c r="G127" s="261"/>
    </row>
    <row r="128" spans="1:9" s="81" customFormat="1">
      <c r="A128" s="110">
        <v>2</v>
      </c>
      <c r="B128" s="380" t="s">
        <v>388</v>
      </c>
      <c r="C128" s="249">
        <f>cal!H178</f>
        <v>6.2556874999999996</v>
      </c>
      <c r="D128" s="114" t="s">
        <v>15</v>
      </c>
      <c r="E128" s="114"/>
      <c r="F128" s="114"/>
      <c r="G128" s="261"/>
    </row>
    <row r="129" spans="1:9" s="81" customFormat="1" ht="13.5" customHeight="1">
      <c r="A129" s="110">
        <v>3</v>
      </c>
      <c r="B129" s="380" t="s">
        <v>396</v>
      </c>
      <c r="C129" s="249">
        <f>C123</f>
        <v>1.189775</v>
      </c>
      <c r="D129" s="114" t="s">
        <v>15</v>
      </c>
      <c r="E129" s="114"/>
      <c r="F129" s="114"/>
      <c r="G129" s="261"/>
    </row>
    <row r="130" spans="1:9" s="81" customFormat="1" ht="13.5" customHeight="1">
      <c r="A130" s="110">
        <v>4</v>
      </c>
      <c r="B130" s="380" t="s">
        <v>285</v>
      </c>
      <c r="C130" s="249">
        <f>C124</f>
        <v>3.1230000000000002</v>
      </c>
      <c r="D130" s="114" t="s">
        <v>15</v>
      </c>
      <c r="E130" s="114"/>
      <c r="F130" s="114"/>
      <c r="G130" s="261"/>
    </row>
    <row r="131" spans="1:9" s="81" customFormat="1">
      <c r="A131" s="110"/>
      <c r="B131" s="175"/>
      <c r="C131" s="249"/>
      <c r="D131" s="114"/>
      <c r="E131" s="114"/>
      <c r="F131" s="114"/>
      <c r="G131" s="261"/>
    </row>
    <row r="132" spans="1:9" s="115" customFormat="1">
      <c r="A132" s="381" t="s">
        <v>401</v>
      </c>
      <c r="B132" s="109" t="s">
        <v>399</v>
      </c>
      <c r="C132" s="249"/>
      <c r="D132" s="114"/>
      <c r="E132" s="114"/>
      <c r="F132" s="114"/>
      <c r="G132" s="261"/>
      <c r="I132" s="81"/>
    </row>
    <row r="133" spans="1:9" s="81" customFormat="1" ht="10.5" customHeight="1">
      <c r="A133" s="110">
        <v>1</v>
      </c>
      <c r="B133" s="113" t="s">
        <v>397</v>
      </c>
      <c r="C133" s="249">
        <f>C121</f>
        <v>56.672621500000005</v>
      </c>
      <c r="D133" s="114" t="s">
        <v>15</v>
      </c>
      <c r="E133" s="114"/>
      <c r="F133" s="114"/>
      <c r="G133" s="261"/>
    </row>
    <row r="134" spans="1:9" s="81" customFormat="1">
      <c r="A134" s="110">
        <v>2</v>
      </c>
      <c r="B134" s="380" t="s">
        <v>388</v>
      </c>
      <c r="C134" s="249">
        <f>cal!H303</f>
        <v>2.0436718749999998</v>
      </c>
      <c r="D134" s="114" t="s">
        <v>15</v>
      </c>
      <c r="E134" s="114"/>
      <c r="F134" s="114"/>
      <c r="G134" s="261"/>
    </row>
    <row r="135" spans="1:9" s="81" customFormat="1" ht="13.5" customHeight="1">
      <c r="A135" s="110">
        <v>3</v>
      </c>
      <c r="B135" s="380" t="s">
        <v>396</v>
      </c>
      <c r="C135" s="249">
        <f>C129</f>
        <v>1.189775</v>
      </c>
      <c r="D135" s="114" t="s">
        <v>15</v>
      </c>
      <c r="E135" s="114"/>
      <c r="F135" s="114"/>
      <c r="G135" s="261"/>
    </row>
    <row r="136" spans="1:9" s="81" customFormat="1" ht="13.5" customHeight="1">
      <c r="A136" s="110">
        <v>4</v>
      </c>
      <c r="B136" s="380" t="s">
        <v>285</v>
      </c>
      <c r="C136" s="249">
        <f>cal!H290</f>
        <v>5.8440000000000003</v>
      </c>
      <c r="D136" s="114" t="s">
        <v>15</v>
      </c>
      <c r="E136" s="114"/>
      <c r="F136" s="114"/>
      <c r="G136" s="261"/>
    </row>
    <row r="137" spans="1:9" s="81" customFormat="1">
      <c r="A137" s="110"/>
      <c r="B137" s="175"/>
      <c r="C137" s="249"/>
      <c r="D137" s="114"/>
      <c r="E137" s="114"/>
      <c r="F137" s="114"/>
      <c r="G137" s="261"/>
    </row>
    <row r="138" spans="1:9" s="115" customFormat="1">
      <c r="A138" s="381" t="s">
        <v>401</v>
      </c>
      <c r="B138" s="109" t="s">
        <v>342</v>
      </c>
      <c r="C138" s="249"/>
      <c r="D138" s="114"/>
      <c r="E138" s="114"/>
      <c r="F138" s="114"/>
      <c r="G138" s="261"/>
      <c r="I138" s="81"/>
    </row>
    <row r="139" spans="1:9" s="81" customFormat="1" ht="10.5" customHeight="1">
      <c r="A139" s="110">
        <v>1</v>
      </c>
      <c r="B139" s="113" t="s">
        <v>400</v>
      </c>
      <c r="C139" s="249">
        <f>cal!H332+cal!H333+cal!H380</f>
        <v>20.529695</v>
      </c>
      <c r="D139" s="114" t="s">
        <v>15</v>
      </c>
      <c r="E139" s="114"/>
      <c r="F139" s="114"/>
      <c r="G139" s="261"/>
    </row>
    <row r="140" spans="1:9" s="81" customFormat="1" ht="16.5" customHeight="1">
      <c r="A140" s="110"/>
      <c r="B140" s="113"/>
      <c r="C140" s="249"/>
      <c r="D140" s="114"/>
      <c r="E140" s="114"/>
      <c r="F140" s="114"/>
      <c r="G140" s="261"/>
    </row>
    <row r="141" spans="1:9" s="81" customFormat="1">
      <c r="A141" s="108">
        <v>3.5</v>
      </c>
      <c r="B141" s="378" t="s">
        <v>34</v>
      </c>
      <c r="C141" s="249"/>
      <c r="D141" s="114"/>
      <c r="E141" s="114"/>
      <c r="F141" s="262"/>
      <c r="G141" s="263"/>
    </row>
    <row r="142" spans="1:9" s="81" customFormat="1">
      <c r="A142" s="382"/>
      <c r="B142" s="109" t="s">
        <v>25</v>
      </c>
      <c r="C142" s="249"/>
      <c r="D142" s="114"/>
      <c r="E142" s="114"/>
      <c r="F142" s="262"/>
      <c r="G142" s="261"/>
    </row>
    <row r="143" spans="1:9" s="81" customFormat="1" ht="63.75">
      <c r="A143" s="116"/>
      <c r="B143" s="111" t="s">
        <v>35</v>
      </c>
      <c r="C143" s="249"/>
      <c r="D143" s="114"/>
      <c r="E143" s="114"/>
      <c r="F143" s="262"/>
      <c r="G143" s="261"/>
    </row>
    <row r="144" spans="1:9" s="81" customFormat="1" ht="25.5">
      <c r="A144" s="116"/>
      <c r="B144" s="175" t="s">
        <v>144</v>
      </c>
      <c r="C144" s="249"/>
      <c r="D144" s="114"/>
      <c r="E144" s="114"/>
      <c r="F144" s="262"/>
      <c r="G144" s="261"/>
    </row>
    <row r="145" spans="1:7" s="81" customFormat="1" ht="38.25">
      <c r="A145" s="116"/>
      <c r="B145" s="333" t="s">
        <v>36</v>
      </c>
      <c r="C145" s="249"/>
      <c r="D145" s="114"/>
      <c r="E145" s="114"/>
      <c r="F145" s="262"/>
      <c r="G145" s="261"/>
    </row>
    <row r="146" spans="1:7" s="81" customFormat="1">
      <c r="A146" s="383"/>
      <c r="B146" s="117"/>
      <c r="C146" s="249"/>
      <c r="D146" s="114"/>
      <c r="E146" s="114"/>
      <c r="F146" s="262"/>
      <c r="G146" s="261"/>
    </row>
    <row r="147" spans="1:7" s="115" customFormat="1" ht="13.5" customHeight="1">
      <c r="A147" s="384" t="s">
        <v>125</v>
      </c>
      <c r="B147" s="109" t="s">
        <v>32</v>
      </c>
      <c r="C147" s="249"/>
      <c r="D147" s="114"/>
      <c r="E147" s="114"/>
      <c r="F147" s="262"/>
      <c r="G147" s="261"/>
    </row>
    <row r="148" spans="1:7" s="81" customFormat="1" ht="13.5" customHeight="1">
      <c r="A148" s="110">
        <v>1</v>
      </c>
      <c r="B148" s="113" t="s">
        <v>482</v>
      </c>
      <c r="C148" s="265"/>
      <c r="D148" s="114"/>
      <c r="E148" s="114"/>
      <c r="F148" s="385"/>
      <c r="G148" s="261"/>
    </row>
    <row r="149" spans="1:7" s="81" customFormat="1" ht="13.5" customHeight="1">
      <c r="A149" s="110"/>
      <c r="B149" s="386" t="s">
        <v>402</v>
      </c>
      <c r="C149" s="249">
        <f>cal!L26</f>
        <v>1.9496874852000001</v>
      </c>
      <c r="D149" s="114" t="s">
        <v>156</v>
      </c>
      <c r="E149" s="114"/>
      <c r="F149" s="114"/>
      <c r="G149" s="261"/>
    </row>
    <row r="150" spans="1:7" s="81" customFormat="1" ht="13.5" customHeight="1">
      <c r="A150" s="110"/>
      <c r="B150" s="386" t="s">
        <v>373</v>
      </c>
      <c r="C150" s="249">
        <f>cal!M26</f>
        <v>1.2668307356249999</v>
      </c>
      <c r="D150" s="114" t="s">
        <v>156</v>
      </c>
      <c r="E150" s="114"/>
      <c r="F150" s="114"/>
      <c r="G150" s="261"/>
    </row>
    <row r="151" spans="1:7" s="81" customFormat="1" ht="13.5" customHeight="1">
      <c r="A151" s="110"/>
      <c r="B151" s="386" t="s">
        <v>393</v>
      </c>
      <c r="C151" s="249">
        <f>cal!N26</f>
        <v>0.47273266666666663</v>
      </c>
      <c r="D151" s="114" t="s">
        <v>156</v>
      </c>
      <c r="E151" s="114"/>
      <c r="F151" s="114"/>
      <c r="G151" s="261"/>
    </row>
    <row r="152" spans="1:7" s="81" customFormat="1" ht="13.5" customHeight="1">
      <c r="A152" s="110">
        <v>2</v>
      </c>
      <c r="B152" s="113" t="s">
        <v>403</v>
      </c>
      <c r="C152" s="249"/>
      <c r="D152" s="114"/>
      <c r="E152" s="114"/>
      <c r="F152" s="114"/>
      <c r="G152" s="261"/>
    </row>
    <row r="153" spans="1:7" s="81" customFormat="1" ht="13.5" customHeight="1">
      <c r="A153" s="110"/>
      <c r="B153" s="386" t="s">
        <v>402</v>
      </c>
      <c r="C153" s="249">
        <f>cal!L28+cal!L30</f>
        <v>3.7872946799999996</v>
      </c>
      <c r="D153" s="114" t="s">
        <v>156</v>
      </c>
      <c r="E153" s="114"/>
      <c r="F153" s="114"/>
      <c r="G153" s="261"/>
    </row>
    <row r="154" spans="1:7" s="81" customFormat="1" ht="13.5" hidden="1" customHeight="1">
      <c r="A154" s="110"/>
      <c r="B154" s="386" t="s">
        <v>373</v>
      </c>
      <c r="C154" s="249">
        <f>cal!M28+cal!M30</f>
        <v>0</v>
      </c>
      <c r="D154" s="114" t="s">
        <v>156</v>
      </c>
      <c r="E154" s="114"/>
      <c r="F154" s="114"/>
      <c r="G154" s="261"/>
    </row>
    <row r="155" spans="1:7" s="81" customFormat="1" ht="13.5" customHeight="1">
      <c r="A155" s="110"/>
      <c r="B155" s="387" t="s">
        <v>244</v>
      </c>
      <c r="C155" s="249">
        <f>cal!O28+cal!O30</f>
        <v>1.2299338720000002</v>
      </c>
      <c r="D155" s="114" t="s">
        <v>156</v>
      </c>
      <c r="E155" s="114"/>
      <c r="F155" s="114"/>
      <c r="G155" s="261"/>
    </row>
    <row r="156" spans="1:7" s="81" customFormat="1" ht="13.5" customHeight="1">
      <c r="A156" s="110">
        <v>3</v>
      </c>
      <c r="B156" s="380" t="s">
        <v>388</v>
      </c>
      <c r="C156" s="249"/>
      <c r="D156" s="114"/>
      <c r="E156" s="114"/>
      <c r="F156" s="114"/>
      <c r="G156" s="261"/>
    </row>
    <row r="157" spans="1:7" s="81" customFormat="1" ht="13.5" customHeight="1">
      <c r="A157" s="110"/>
      <c r="B157" s="386" t="s">
        <v>402</v>
      </c>
      <c r="C157" s="249">
        <f>cal!L54</f>
        <v>1.5495960000000002</v>
      </c>
      <c r="D157" s="114" t="s">
        <v>156</v>
      </c>
      <c r="E157" s="114"/>
      <c r="F157" s="114"/>
      <c r="G157" s="261"/>
    </row>
    <row r="158" spans="1:7" s="81" customFormat="1" ht="13.5" customHeight="1">
      <c r="A158" s="110"/>
      <c r="B158" s="387" t="s">
        <v>244</v>
      </c>
      <c r="C158" s="249">
        <f>cal!O54</f>
        <v>0.10167600000000002</v>
      </c>
      <c r="D158" s="114" t="s">
        <v>156</v>
      </c>
      <c r="E158" s="114"/>
      <c r="F158" s="114"/>
      <c r="G158" s="261"/>
    </row>
    <row r="159" spans="1:7" s="81" customFormat="1" ht="13.5" customHeight="1">
      <c r="A159" s="110">
        <v>4</v>
      </c>
      <c r="B159" s="380" t="s">
        <v>484</v>
      </c>
      <c r="C159" s="249"/>
      <c r="D159" s="114"/>
      <c r="E159" s="114"/>
      <c r="F159" s="114"/>
      <c r="G159" s="261"/>
    </row>
    <row r="160" spans="1:7" s="81" customFormat="1" ht="13.5" customHeight="1">
      <c r="A160" s="110"/>
      <c r="B160" s="386" t="s">
        <v>393</v>
      </c>
      <c r="C160" s="249">
        <f>cal!N37*2</f>
        <v>8.8405199999999993E-3</v>
      </c>
      <c r="D160" s="114" t="s">
        <v>156</v>
      </c>
      <c r="E160" s="114"/>
      <c r="F160" s="114"/>
      <c r="G160" s="261"/>
    </row>
    <row r="161" spans="1:11" s="81" customFormat="1" ht="13.5" customHeight="1">
      <c r="A161" s="110">
        <v>5</v>
      </c>
      <c r="B161" s="380" t="s">
        <v>285</v>
      </c>
      <c r="C161" s="249"/>
      <c r="D161" s="114"/>
      <c r="E161" s="114"/>
      <c r="F161" s="114"/>
      <c r="G161" s="261"/>
    </row>
    <row r="162" spans="1:11" s="81" customFormat="1" ht="13.5" customHeight="1">
      <c r="A162" s="110"/>
      <c r="B162" s="386" t="s">
        <v>373</v>
      </c>
      <c r="C162" s="249">
        <f>cal!M57</f>
        <v>0.17269200000000001</v>
      </c>
      <c r="D162" s="114" t="s">
        <v>156</v>
      </c>
      <c r="E162" s="114"/>
      <c r="F162" s="114"/>
      <c r="G162" s="261"/>
    </row>
    <row r="163" spans="1:11" s="81" customFormat="1" ht="13.5" customHeight="1">
      <c r="A163" s="110"/>
      <c r="B163" s="386" t="s">
        <v>393</v>
      </c>
      <c r="C163" s="249">
        <f>cal!N57</f>
        <v>0.13338</v>
      </c>
      <c r="D163" s="114" t="s">
        <v>156</v>
      </c>
      <c r="E163" s="114"/>
      <c r="F163" s="114"/>
      <c r="G163" s="261"/>
    </row>
    <row r="164" spans="1:11" s="81" customFormat="1" ht="13.5" customHeight="1">
      <c r="A164" s="110"/>
      <c r="B164" s="386"/>
      <c r="C164" s="249"/>
      <c r="D164" s="114"/>
      <c r="E164" s="114"/>
      <c r="F164" s="114"/>
      <c r="G164" s="261"/>
    </row>
    <row r="165" spans="1:11" s="115" customFormat="1" ht="13.5" customHeight="1">
      <c r="A165" s="121" t="s">
        <v>126</v>
      </c>
      <c r="B165" s="109" t="s">
        <v>209</v>
      </c>
      <c r="C165" s="249"/>
      <c r="D165" s="114"/>
      <c r="E165" s="114"/>
      <c r="F165" s="114"/>
      <c r="G165" s="261"/>
      <c r="H165" s="81"/>
      <c r="I165" s="81"/>
      <c r="J165" s="81"/>
      <c r="K165" s="81"/>
    </row>
    <row r="166" spans="1:11" s="81" customFormat="1" ht="13.5" customHeight="1">
      <c r="A166" s="110">
        <v>1</v>
      </c>
      <c r="B166" s="380" t="s">
        <v>388</v>
      </c>
      <c r="C166" s="249"/>
      <c r="D166" s="114"/>
      <c r="E166" s="114"/>
      <c r="F166" s="114"/>
      <c r="G166" s="261"/>
    </row>
    <row r="167" spans="1:11" s="81" customFormat="1" ht="13.5" customHeight="1">
      <c r="A167" s="110"/>
      <c r="B167" s="386" t="s">
        <v>402</v>
      </c>
      <c r="C167" s="249">
        <f>cal!L76+cal!L54</f>
        <v>3.0991920000000004</v>
      </c>
      <c r="D167" s="114" t="s">
        <v>156</v>
      </c>
      <c r="E167" s="114"/>
      <c r="F167" s="114"/>
      <c r="G167" s="261"/>
    </row>
    <row r="168" spans="1:11" s="81" customFormat="1" ht="13.5" customHeight="1">
      <c r="A168" s="110"/>
      <c r="B168" s="386" t="s">
        <v>373</v>
      </c>
      <c r="C168" s="249">
        <f>cal!M54+cal!M76</f>
        <v>0</v>
      </c>
      <c r="D168" s="114" t="s">
        <v>156</v>
      </c>
      <c r="E168" s="114"/>
      <c r="F168" s="114"/>
      <c r="G168" s="261"/>
    </row>
    <row r="169" spans="1:11" s="81" customFormat="1" ht="13.5" customHeight="1">
      <c r="A169" s="110"/>
      <c r="B169" s="387" t="s">
        <v>244</v>
      </c>
      <c r="C169" s="249">
        <f>cal!O54+cal!O76</f>
        <v>0.52956250000000005</v>
      </c>
      <c r="D169" s="114" t="s">
        <v>156</v>
      </c>
      <c r="E169" s="114"/>
      <c r="F169" s="114"/>
      <c r="G169" s="261"/>
    </row>
    <row r="170" spans="1:11" s="81" customFormat="1" ht="13.5" customHeight="1">
      <c r="A170" s="110">
        <v>2</v>
      </c>
      <c r="B170" s="380" t="s">
        <v>396</v>
      </c>
      <c r="C170" s="249"/>
      <c r="D170" s="114"/>
      <c r="E170" s="114"/>
      <c r="F170" s="114"/>
      <c r="G170" s="261"/>
    </row>
    <row r="171" spans="1:11" s="81" customFormat="1" ht="13.5" customHeight="1">
      <c r="A171" s="110"/>
      <c r="B171" s="386" t="s">
        <v>393</v>
      </c>
      <c r="C171" s="249">
        <f>cal!M37+cal!N80</f>
        <v>0.44372627999999997</v>
      </c>
      <c r="D171" s="114" t="s">
        <v>156</v>
      </c>
      <c r="E171" s="114"/>
      <c r="F171" s="114"/>
      <c r="G171" s="261"/>
    </row>
    <row r="172" spans="1:11" s="81" customFormat="1" ht="13.5" customHeight="1">
      <c r="A172" s="110">
        <v>3</v>
      </c>
      <c r="B172" s="380" t="s">
        <v>285</v>
      </c>
      <c r="C172" s="249"/>
      <c r="D172" s="114"/>
      <c r="E172" s="114"/>
      <c r="F172" s="114"/>
      <c r="G172" s="261"/>
    </row>
    <row r="173" spans="1:11" s="81" customFormat="1" ht="13.5" customHeight="1">
      <c r="A173" s="110"/>
      <c r="B173" s="386" t="s">
        <v>373</v>
      </c>
      <c r="C173" s="249">
        <f>cal!M85</f>
        <v>0.36649080000000001</v>
      </c>
      <c r="D173" s="114" t="s">
        <v>156</v>
      </c>
      <c r="E173" s="114"/>
      <c r="F173" s="114"/>
      <c r="G173" s="261"/>
    </row>
    <row r="174" spans="1:11" s="81" customFormat="1" ht="13.5" customHeight="1">
      <c r="A174" s="110"/>
      <c r="B174" s="386" t="s">
        <v>393</v>
      </c>
      <c r="C174" s="249">
        <f>cal!N85</f>
        <v>0.28306200000000004</v>
      </c>
      <c r="D174" s="114" t="s">
        <v>156</v>
      </c>
      <c r="E174" s="114"/>
      <c r="F174" s="114"/>
      <c r="G174" s="261"/>
    </row>
    <row r="175" spans="1:11" s="81" customFormat="1" ht="13.5" customHeight="1">
      <c r="A175" s="110"/>
      <c r="B175" s="386"/>
      <c r="C175" s="249"/>
      <c r="D175" s="114"/>
      <c r="E175" s="114"/>
      <c r="F175" s="114"/>
      <c r="G175" s="261"/>
    </row>
    <row r="176" spans="1:11" s="115" customFormat="1" ht="13.5" customHeight="1">
      <c r="A176" s="121" t="s">
        <v>127</v>
      </c>
      <c r="B176" s="109" t="s">
        <v>213</v>
      </c>
      <c r="C176" s="388"/>
      <c r="D176" s="114"/>
      <c r="E176" s="114"/>
      <c r="F176" s="114"/>
      <c r="G176" s="261"/>
      <c r="H176" s="81"/>
      <c r="I176" s="81"/>
      <c r="J176" s="81"/>
      <c r="K176" s="81"/>
    </row>
    <row r="177" spans="1:7" s="81" customFormat="1" ht="13.5" customHeight="1">
      <c r="A177" s="110">
        <v>1</v>
      </c>
      <c r="B177" s="113" t="s">
        <v>405</v>
      </c>
      <c r="C177" s="249"/>
      <c r="D177" s="114"/>
      <c r="E177" s="114"/>
      <c r="F177" s="114"/>
      <c r="G177" s="261"/>
    </row>
    <row r="178" spans="1:7" s="81" customFormat="1" ht="13.5" customHeight="1">
      <c r="A178" s="110"/>
      <c r="B178" s="386" t="s">
        <v>404</v>
      </c>
      <c r="C178" s="249">
        <f>cal!K100</f>
        <v>0.82316120000000015</v>
      </c>
      <c r="D178" s="114" t="s">
        <v>156</v>
      </c>
      <c r="E178" s="114"/>
      <c r="F178" s="114"/>
      <c r="G178" s="261"/>
    </row>
    <row r="179" spans="1:7" s="81" customFormat="1" ht="13.5" customHeight="1">
      <c r="A179" s="110"/>
      <c r="B179" s="386" t="s">
        <v>402</v>
      </c>
      <c r="C179" s="249">
        <f>cal!L100</f>
        <v>3.3413424119999995</v>
      </c>
      <c r="D179" s="114" t="s">
        <v>156</v>
      </c>
      <c r="E179" s="114"/>
      <c r="F179" s="114"/>
      <c r="G179" s="261"/>
    </row>
    <row r="180" spans="1:7" s="81" customFormat="1" ht="13.5" customHeight="1">
      <c r="A180" s="110"/>
      <c r="B180" s="389" t="s">
        <v>253</v>
      </c>
      <c r="C180" s="249">
        <f>cal!M100</f>
        <v>0</v>
      </c>
      <c r="D180" s="114" t="s">
        <v>156</v>
      </c>
      <c r="E180" s="114"/>
      <c r="F180" s="114"/>
      <c r="G180" s="261"/>
    </row>
    <row r="181" spans="1:7" s="81" customFormat="1" ht="13.5" customHeight="1">
      <c r="A181" s="110"/>
      <c r="B181" s="386" t="s">
        <v>393</v>
      </c>
      <c r="C181" s="249">
        <f>cal!N113</f>
        <v>6.144435305</v>
      </c>
      <c r="D181" s="114" t="s">
        <v>156</v>
      </c>
      <c r="E181" s="114"/>
      <c r="F181" s="114"/>
      <c r="G181" s="261"/>
    </row>
    <row r="182" spans="1:7" s="81" customFormat="1" ht="13.5" customHeight="1">
      <c r="A182" s="110"/>
      <c r="B182" s="390" t="s">
        <v>212</v>
      </c>
      <c r="C182" s="249">
        <f>cal!O100</f>
        <v>1.3963976254545454</v>
      </c>
      <c r="D182" s="114" t="s">
        <v>156</v>
      </c>
      <c r="E182" s="114"/>
      <c r="F182" s="114"/>
      <c r="G182" s="261"/>
    </row>
    <row r="183" spans="1:7" s="81" customFormat="1" ht="13.5" customHeight="1">
      <c r="A183" s="110">
        <v>2</v>
      </c>
      <c r="B183" s="380" t="s">
        <v>389</v>
      </c>
      <c r="C183" s="249"/>
      <c r="D183" s="114"/>
      <c r="E183" s="114"/>
      <c r="F183" s="114"/>
      <c r="G183" s="261"/>
    </row>
    <row r="184" spans="1:7" s="81" customFormat="1" ht="13.5" customHeight="1">
      <c r="A184" s="110"/>
      <c r="B184" s="386" t="s">
        <v>402</v>
      </c>
      <c r="C184" s="249">
        <f>cal!L127</f>
        <v>1.5495960000000002</v>
      </c>
      <c r="D184" s="114" t="s">
        <v>156</v>
      </c>
      <c r="E184" s="114"/>
      <c r="F184" s="114"/>
      <c r="G184" s="261"/>
    </row>
    <row r="185" spans="1:7" s="81" customFormat="1" ht="13.5" customHeight="1">
      <c r="A185" s="110"/>
      <c r="B185" s="386" t="s">
        <v>373</v>
      </c>
      <c r="C185" s="249">
        <f>cal!M127</f>
        <v>0</v>
      </c>
      <c r="D185" s="114" t="s">
        <v>156</v>
      </c>
      <c r="E185" s="114"/>
      <c r="F185" s="114"/>
      <c r="G185" s="261"/>
    </row>
    <row r="186" spans="1:7" s="81" customFormat="1" ht="13.5" customHeight="1">
      <c r="A186" s="110"/>
      <c r="B186" s="387" t="s">
        <v>244</v>
      </c>
      <c r="C186" s="249">
        <f>cal!O127</f>
        <v>0.4278865</v>
      </c>
      <c r="D186" s="114" t="s">
        <v>156</v>
      </c>
      <c r="E186" s="114"/>
      <c r="F186" s="114"/>
      <c r="G186" s="261"/>
    </row>
    <row r="187" spans="1:7" s="81" customFormat="1" ht="13.5" customHeight="1">
      <c r="A187" s="110">
        <v>3</v>
      </c>
      <c r="B187" s="380" t="s">
        <v>396</v>
      </c>
      <c r="C187" s="249"/>
      <c r="D187" s="114"/>
      <c r="E187" s="114"/>
      <c r="F187" s="114"/>
      <c r="G187" s="261"/>
    </row>
    <row r="188" spans="1:7" s="81" customFormat="1" ht="13.5" customHeight="1">
      <c r="A188" s="110"/>
      <c r="B188" s="386" t="s">
        <v>393</v>
      </c>
      <c r="C188" s="249">
        <f>C171</f>
        <v>0.44372627999999997</v>
      </c>
      <c r="D188" s="114" t="s">
        <v>156</v>
      </c>
      <c r="E188" s="114"/>
      <c r="F188" s="114"/>
      <c r="G188" s="261"/>
    </row>
    <row r="189" spans="1:7" s="81" customFormat="1" ht="13.5" customHeight="1">
      <c r="A189" s="110">
        <v>4</v>
      </c>
      <c r="B189" s="380" t="s">
        <v>285</v>
      </c>
      <c r="C189" s="249">
        <f t="shared" ref="C189:C191" si="0">C172</f>
        <v>0</v>
      </c>
      <c r="D189" s="114"/>
      <c r="E189" s="114"/>
      <c r="F189" s="114"/>
      <c r="G189" s="261"/>
    </row>
    <row r="190" spans="1:7" s="81" customFormat="1" ht="13.5" customHeight="1">
      <c r="A190" s="110"/>
      <c r="B190" s="386" t="s">
        <v>373</v>
      </c>
      <c r="C190" s="249">
        <f t="shared" si="0"/>
        <v>0.36649080000000001</v>
      </c>
      <c r="D190" s="114" t="s">
        <v>156</v>
      </c>
      <c r="E190" s="114"/>
      <c r="F190" s="114"/>
      <c r="G190" s="261"/>
    </row>
    <row r="191" spans="1:7" s="81" customFormat="1" ht="13.5" customHeight="1">
      <c r="A191" s="110"/>
      <c r="B191" s="386" t="s">
        <v>393</v>
      </c>
      <c r="C191" s="249">
        <f t="shared" si="0"/>
        <v>0.28306200000000004</v>
      </c>
      <c r="D191" s="114" t="s">
        <v>156</v>
      </c>
      <c r="E191" s="114"/>
      <c r="F191" s="114"/>
      <c r="G191" s="261"/>
    </row>
    <row r="192" spans="1:7" s="81" customFormat="1" ht="13.5" customHeight="1">
      <c r="A192" s="110"/>
      <c r="B192" s="386"/>
      <c r="C192" s="249"/>
      <c r="D192" s="114"/>
      <c r="E192" s="114"/>
      <c r="F192" s="114"/>
      <c r="G192" s="261"/>
    </row>
    <row r="193" spans="1:11" s="115" customFormat="1" ht="13.5" customHeight="1">
      <c r="A193" s="381" t="s">
        <v>128</v>
      </c>
      <c r="B193" s="109" t="s">
        <v>485</v>
      </c>
      <c r="C193" s="388"/>
      <c r="D193" s="114"/>
      <c r="E193" s="114"/>
      <c r="F193" s="114"/>
      <c r="G193" s="261"/>
      <c r="H193" s="81"/>
      <c r="I193" s="81"/>
      <c r="J193" s="81"/>
      <c r="K193" s="81"/>
    </row>
    <row r="194" spans="1:11" s="81" customFormat="1" ht="13.5" customHeight="1">
      <c r="A194" s="110">
        <v>1</v>
      </c>
      <c r="B194" s="113" t="s">
        <v>405</v>
      </c>
      <c r="C194" s="249"/>
      <c r="D194" s="114"/>
      <c r="E194" s="114"/>
      <c r="F194" s="114"/>
      <c r="G194" s="261"/>
    </row>
    <row r="195" spans="1:11" s="81" customFormat="1" ht="13.5" customHeight="1">
      <c r="A195" s="110"/>
      <c r="B195" s="386" t="s">
        <v>404</v>
      </c>
      <c r="C195" s="249">
        <f>C178</f>
        <v>0.82316120000000015</v>
      </c>
      <c r="D195" s="114" t="s">
        <v>156</v>
      </c>
      <c r="E195" s="114"/>
      <c r="F195" s="114"/>
      <c r="G195" s="261"/>
    </row>
    <row r="196" spans="1:11" s="81" customFormat="1" ht="13.5" customHeight="1">
      <c r="A196" s="110"/>
      <c r="B196" s="386" t="s">
        <v>402</v>
      </c>
      <c r="C196" s="249">
        <f t="shared" ref="C196:C208" si="1">C179</f>
        <v>3.3413424119999995</v>
      </c>
      <c r="D196" s="114" t="s">
        <v>156</v>
      </c>
      <c r="E196" s="114"/>
      <c r="F196" s="114"/>
      <c r="G196" s="261"/>
    </row>
    <row r="197" spans="1:11" s="81" customFormat="1" ht="13.5" customHeight="1">
      <c r="A197" s="110"/>
      <c r="B197" s="389" t="s">
        <v>253</v>
      </c>
      <c r="C197" s="249">
        <f t="shared" si="1"/>
        <v>0</v>
      </c>
      <c r="D197" s="114" t="s">
        <v>156</v>
      </c>
      <c r="E197" s="114"/>
      <c r="F197" s="114"/>
      <c r="G197" s="261"/>
    </row>
    <row r="198" spans="1:11" s="81" customFormat="1" ht="13.5" customHeight="1">
      <c r="A198" s="110"/>
      <c r="B198" s="386" t="s">
        <v>393</v>
      </c>
      <c r="C198" s="249">
        <f t="shared" si="1"/>
        <v>6.144435305</v>
      </c>
      <c r="D198" s="114" t="s">
        <v>156</v>
      </c>
      <c r="E198" s="114"/>
      <c r="F198" s="114"/>
      <c r="G198" s="261"/>
    </row>
    <row r="199" spans="1:11" s="81" customFormat="1" ht="13.5" customHeight="1">
      <c r="A199" s="110"/>
      <c r="B199" s="390" t="s">
        <v>212</v>
      </c>
      <c r="C199" s="249">
        <f t="shared" si="1"/>
        <v>1.3963976254545454</v>
      </c>
      <c r="D199" s="114" t="s">
        <v>156</v>
      </c>
      <c r="E199" s="114"/>
      <c r="F199" s="114"/>
      <c r="G199" s="261"/>
    </row>
    <row r="200" spans="1:11" s="81" customFormat="1" ht="13.5" customHeight="1">
      <c r="A200" s="110">
        <v>2</v>
      </c>
      <c r="B200" s="380" t="s">
        <v>389</v>
      </c>
      <c r="C200" s="249">
        <f t="shared" si="1"/>
        <v>0</v>
      </c>
      <c r="D200" s="114"/>
      <c r="E200" s="114"/>
      <c r="F200" s="114"/>
      <c r="G200" s="261"/>
    </row>
    <row r="201" spans="1:11" s="81" customFormat="1" ht="13.5" customHeight="1">
      <c r="A201" s="110"/>
      <c r="B201" s="386" t="s">
        <v>402</v>
      </c>
      <c r="C201" s="249">
        <f t="shared" si="1"/>
        <v>1.5495960000000002</v>
      </c>
      <c r="D201" s="114" t="s">
        <v>156</v>
      </c>
      <c r="E201" s="114"/>
      <c r="F201" s="114"/>
      <c r="G201" s="261"/>
    </row>
    <row r="202" spans="1:11" s="81" customFormat="1" ht="13.5" customHeight="1">
      <c r="A202" s="110"/>
      <c r="B202" s="386" t="s">
        <v>373</v>
      </c>
      <c r="C202" s="249">
        <f t="shared" si="1"/>
        <v>0</v>
      </c>
      <c r="D202" s="114" t="s">
        <v>156</v>
      </c>
      <c r="E202" s="114"/>
      <c r="F202" s="114"/>
      <c r="G202" s="261"/>
    </row>
    <row r="203" spans="1:11" s="81" customFormat="1" ht="13.5" customHeight="1">
      <c r="A203" s="110"/>
      <c r="B203" s="387" t="s">
        <v>244</v>
      </c>
      <c r="C203" s="249">
        <f t="shared" si="1"/>
        <v>0.4278865</v>
      </c>
      <c r="D203" s="114" t="s">
        <v>156</v>
      </c>
      <c r="E203" s="114"/>
      <c r="F203" s="114"/>
      <c r="G203" s="261"/>
    </row>
    <row r="204" spans="1:11" s="81" customFormat="1" ht="13.5" customHeight="1">
      <c r="A204" s="110">
        <v>3</v>
      </c>
      <c r="B204" s="380" t="s">
        <v>396</v>
      </c>
      <c r="C204" s="249">
        <f t="shared" si="1"/>
        <v>0</v>
      </c>
      <c r="D204" s="114"/>
      <c r="E204" s="114"/>
      <c r="F204" s="114"/>
      <c r="G204" s="261"/>
    </row>
    <row r="205" spans="1:11" s="81" customFormat="1" ht="13.5" customHeight="1">
      <c r="A205" s="110"/>
      <c r="B205" s="386" t="s">
        <v>393</v>
      </c>
      <c r="C205" s="249">
        <f t="shared" si="1"/>
        <v>0.44372627999999997</v>
      </c>
      <c r="D205" s="114" t="s">
        <v>156</v>
      </c>
      <c r="E205" s="114"/>
      <c r="F205" s="114"/>
      <c r="G205" s="261"/>
    </row>
    <row r="206" spans="1:11" s="81" customFormat="1" ht="13.5" customHeight="1">
      <c r="A206" s="110">
        <v>4</v>
      </c>
      <c r="B206" s="380" t="s">
        <v>285</v>
      </c>
      <c r="C206" s="249">
        <f t="shared" si="1"/>
        <v>0</v>
      </c>
      <c r="D206" s="114"/>
      <c r="E206" s="114"/>
      <c r="F206" s="114"/>
      <c r="G206" s="261"/>
    </row>
    <row r="207" spans="1:11" s="81" customFormat="1" ht="13.5" customHeight="1">
      <c r="A207" s="110"/>
      <c r="B207" s="386" t="s">
        <v>373</v>
      </c>
      <c r="C207" s="249">
        <f t="shared" si="1"/>
        <v>0.36649080000000001</v>
      </c>
      <c r="D207" s="114" t="s">
        <v>156</v>
      </c>
      <c r="E207" s="114"/>
      <c r="F207" s="114"/>
      <c r="G207" s="261"/>
    </row>
    <row r="208" spans="1:11" s="81" customFormat="1" ht="13.5" customHeight="1">
      <c r="A208" s="110"/>
      <c r="B208" s="386" t="s">
        <v>393</v>
      </c>
      <c r="C208" s="249">
        <f t="shared" si="1"/>
        <v>0.28306200000000004</v>
      </c>
      <c r="D208" s="114" t="s">
        <v>156</v>
      </c>
      <c r="E208" s="114"/>
      <c r="F208" s="114"/>
      <c r="G208" s="261"/>
    </row>
    <row r="209" spans="1:11" s="81" customFormat="1" ht="13.5" customHeight="1">
      <c r="A209" s="110"/>
      <c r="B209" s="386"/>
      <c r="C209" s="249"/>
      <c r="D209" s="114"/>
      <c r="E209" s="114"/>
      <c r="F209" s="114"/>
      <c r="G209" s="261"/>
    </row>
    <row r="210" spans="1:11" s="115" customFormat="1" ht="13.5" customHeight="1">
      <c r="A210" s="381" t="s">
        <v>407</v>
      </c>
      <c r="B210" s="109" t="s">
        <v>406</v>
      </c>
      <c r="C210" s="388"/>
      <c r="D210" s="114"/>
      <c r="E210" s="114"/>
      <c r="F210" s="114"/>
      <c r="G210" s="261"/>
      <c r="H210" s="81"/>
      <c r="I210" s="81"/>
      <c r="J210" s="81"/>
      <c r="K210" s="81"/>
    </row>
    <row r="211" spans="1:11" s="81" customFormat="1" ht="13.5" customHeight="1">
      <c r="A211" s="110">
        <v>1</v>
      </c>
      <c r="B211" s="113" t="s">
        <v>405</v>
      </c>
      <c r="C211" s="249"/>
      <c r="D211" s="114"/>
      <c r="E211" s="114"/>
      <c r="F211" s="114"/>
      <c r="G211" s="261"/>
    </row>
    <row r="212" spans="1:11" s="81" customFormat="1" ht="13.5" customHeight="1">
      <c r="A212" s="110"/>
      <c r="B212" s="386" t="s">
        <v>404</v>
      </c>
      <c r="C212" s="249">
        <f>C178</f>
        <v>0.82316120000000015</v>
      </c>
      <c r="D212" s="114" t="s">
        <v>156</v>
      </c>
      <c r="E212" s="114"/>
      <c r="F212" s="114"/>
      <c r="G212" s="261"/>
    </row>
    <row r="213" spans="1:11" s="81" customFormat="1" ht="13.5" customHeight="1">
      <c r="A213" s="110"/>
      <c r="B213" s="386" t="s">
        <v>402</v>
      </c>
      <c r="C213" s="249">
        <f>C179</f>
        <v>3.3413424119999995</v>
      </c>
      <c r="D213" s="114" t="s">
        <v>156</v>
      </c>
      <c r="E213" s="114"/>
      <c r="F213" s="114"/>
      <c r="G213" s="261"/>
    </row>
    <row r="214" spans="1:11" s="81" customFormat="1" ht="13.5" customHeight="1">
      <c r="A214" s="110"/>
      <c r="B214" s="389" t="s">
        <v>253</v>
      </c>
      <c r="C214" s="249">
        <f>C180</f>
        <v>0</v>
      </c>
      <c r="D214" s="114" t="s">
        <v>156</v>
      </c>
      <c r="E214" s="114"/>
      <c r="F214" s="114"/>
      <c r="G214" s="261"/>
    </row>
    <row r="215" spans="1:11" s="81" customFormat="1" ht="13.5" customHeight="1">
      <c r="A215" s="110"/>
      <c r="B215" s="386" t="s">
        <v>393</v>
      </c>
      <c r="C215" s="249">
        <f>C181</f>
        <v>6.144435305</v>
      </c>
      <c r="D215" s="114" t="s">
        <v>156</v>
      </c>
      <c r="E215" s="114"/>
      <c r="F215" s="114"/>
      <c r="G215" s="261"/>
    </row>
    <row r="216" spans="1:11" s="81" customFormat="1" ht="13.5" customHeight="1">
      <c r="A216" s="110"/>
      <c r="B216" s="390" t="s">
        <v>212</v>
      </c>
      <c r="C216" s="249">
        <f>C182</f>
        <v>1.3963976254545454</v>
      </c>
      <c r="D216" s="114" t="s">
        <v>156</v>
      </c>
      <c r="E216" s="114"/>
      <c r="F216" s="114"/>
      <c r="G216" s="261"/>
    </row>
    <row r="217" spans="1:11" s="81" customFormat="1" ht="13.5" customHeight="1">
      <c r="A217" s="110">
        <v>2</v>
      </c>
      <c r="B217" s="380" t="s">
        <v>389</v>
      </c>
      <c r="C217" s="249"/>
      <c r="D217" s="114"/>
      <c r="E217" s="114"/>
      <c r="F217" s="114"/>
      <c r="G217" s="261"/>
    </row>
    <row r="218" spans="1:11" s="81" customFormat="1" ht="13.5" customHeight="1">
      <c r="A218" s="110"/>
      <c r="B218" s="386" t="s">
        <v>402</v>
      </c>
      <c r="C218" s="249">
        <f>cal!L303</f>
        <v>0.50259300000000007</v>
      </c>
      <c r="D218" s="114" t="s">
        <v>156</v>
      </c>
      <c r="E218" s="114"/>
      <c r="F218" s="114"/>
      <c r="G218" s="261"/>
    </row>
    <row r="219" spans="1:11" s="81" customFormat="1" ht="13.5" customHeight="1">
      <c r="A219" s="110"/>
      <c r="B219" s="386" t="s">
        <v>373</v>
      </c>
      <c r="C219" s="249">
        <f>cal!M303</f>
        <v>0</v>
      </c>
      <c r="D219" s="114" t="s">
        <v>156</v>
      </c>
      <c r="E219" s="114"/>
      <c r="F219" s="114"/>
      <c r="G219" s="261"/>
    </row>
    <row r="220" spans="1:11" s="81" customFormat="1" ht="13.5" customHeight="1">
      <c r="A220" s="110"/>
      <c r="B220" s="387" t="s">
        <v>244</v>
      </c>
      <c r="C220" s="249">
        <f>cal!O303</f>
        <v>0.13079499999999999</v>
      </c>
      <c r="D220" s="114" t="s">
        <v>156</v>
      </c>
      <c r="E220" s="114"/>
      <c r="F220" s="114"/>
      <c r="G220" s="261"/>
    </row>
    <row r="221" spans="1:11" s="81" customFormat="1" ht="13.5" customHeight="1">
      <c r="A221" s="110">
        <v>3</v>
      </c>
      <c r="B221" s="380" t="s">
        <v>396</v>
      </c>
      <c r="C221" s="249">
        <f t="shared" ref="C221:C225" si="2">C204</f>
        <v>0</v>
      </c>
      <c r="D221" s="114"/>
      <c r="E221" s="114"/>
      <c r="F221" s="114"/>
      <c r="G221" s="261"/>
    </row>
    <row r="222" spans="1:11" s="81" customFormat="1" ht="13.5" customHeight="1">
      <c r="A222" s="110"/>
      <c r="B222" s="386" t="s">
        <v>393</v>
      </c>
      <c r="C222" s="249">
        <f t="shared" si="2"/>
        <v>0.44372627999999997</v>
      </c>
      <c r="D222" s="114" t="s">
        <v>156</v>
      </c>
      <c r="E222" s="114"/>
      <c r="F222" s="114"/>
      <c r="G222" s="261"/>
    </row>
    <row r="223" spans="1:11" s="81" customFormat="1" ht="13.5" customHeight="1">
      <c r="A223" s="110">
        <v>4</v>
      </c>
      <c r="B223" s="380" t="s">
        <v>285</v>
      </c>
      <c r="C223" s="249">
        <f t="shared" si="2"/>
        <v>0</v>
      </c>
      <c r="D223" s="114"/>
      <c r="E223" s="114"/>
      <c r="F223" s="114"/>
      <c r="G223" s="261"/>
    </row>
    <row r="224" spans="1:11" s="81" customFormat="1" ht="13.5" customHeight="1">
      <c r="A224" s="110"/>
      <c r="B224" s="386" t="s">
        <v>373</v>
      </c>
      <c r="C224" s="249">
        <f t="shared" si="2"/>
        <v>0.36649080000000001</v>
      </c>
      <c r="D224" s="114" t="s">
        <v>156</v>
      </c>
      <c r="E224" s="114"/>
      <c r="F224" s="114"/>
      <c r="G224" s="261"/>
    </row>
    <row r="225" spans="1:11" s="81" customFormat="1" ht="13.5" customHeight="1">
      <c r="A225" s="110"/>
      <c r="B225" s="386" t="s">
        <v>393</v>
      </c>
      <c r="C225" s="249">
        <f t="shared" si="2"/>
        <v>0.28306200000000004</v>
      </c>
      <c r="D225" s="114" t="s">
        <v>156</v>
      </c>
      <c r="E225" s="114"/>
      <c r="F225" s="114"/>
      <c r="G225" s="261"/>
    </row>
    <row r="226" spans="1:11" s="81" customFormat="1" ht="13.5" customHeight="1">
      <c r="A226" s="110"/>
      <c r="B226" s="386"/>
      <c r="C226" s="249"/>
      <c r="D226" s="114"/>
      <c r="E226" s="114"/>
      <c r="F226" s="114"/>
      <c r="G226" s="261"/>
    </row>
    <row r="227" spans="1:11" s="115" customFormat="1" ht="13.5" customHeight="1">
      <c r="A227" s="381" t="s">
        <v>486</v>
      </c>
      <c r="B227" s="109" t="s">
        <v>408</v>
      </c>
      <c r="C227" s="388"/>
      <c r="D227" s="114"/>
      <c r="E227" s="114"/>
      <c r="F227" s="114"/>
      <c r="G227" s="261"/>
      <c r="H227" s="81"/>
      <c r="I227" s="81"/>
      <c r="J227" s="81"/>
      <c r="K227" s="81"/>
    </row>
    <row r="228" spans="1:11" s="81" customFormat="1" ht="13.5" customHeight="1">
      <c r="A228" s="110">
        <v>1</v>
      </c>
      <c r="B228" s="113" t="s">
        <v>409</v>
      </c>
      <c r="C228" s="249"/>
      <c r="D228" s="114"/>
      <c r="E228" s="114"/>
      <c r="F228" s="114"/>
      <c r="G228" s="261"/>
    </row>
    <row r="229" spans="1:11" s="81" customFormat="1" ht="13.5" customHeight="1">
      <c r="A229" s="110"/>
      <c r="B229" s="386" t="s">
        <v>402</v>
      </c>
      <c r="C229" s="249">
        <f>cal!L332</f>
        <v>0.79513210800000012</v>
      </c>
      <c r="D229" s="114" t="s">
        <v>156</v>
      </c>
      <c r="E229" s="114"/>
      <c r="F229" s="114"/>
      <c r="G229" s="261"/>
    </row>
    <row r="230" spans="1:11" s="81" customFormat="1" ht="13.5" hidden="1" customHeight="1">
      <c r="A230" s="110"/>
      <c r="B230" s="389" t="s">
        <v>253</v>
      </c>
      <c r="C230" s="249">
        <f>cal!M332</f>
        <v>0</v>
      </c>
      <c r="D230" s="114" t="s">
        <v>156</v>
      </c>
      <c r="E230" s="114"/>
      <c r="F230" s="114"/>
      <c r="G230" s="261"/>
    </row>
    <row r="231" spans="1:11" s="81" customFormat="1" ht="13.5" customHeight="1">
      <c r="A231" s="110"/>
      <c r="B231" s="386" t="s">
        <v>393</v>
      </c>
      <c r="C231" s="249">
        <f>cal!N333</f>
        <v>2.1632412420000002</v>
      </c>
      <c r="D231" s="114" t="s">
        <v>156</v>
      </c>
      <c r="E231" s="114"/>
      <c r="F231" s="114"/>
      <c r="G231" s="261"/>
    </row>
    <row r="232" spans="1:11" s="81" customFormat="1" ht="13.5" customHeight="1">
      <c r="A232" s="110"/>
      <c r="B232" s="390" t="s">
        <v>212</v>
      </c>
      <c r="C232" s="249">
        <f>cal!O332</f>
        <v>0.47409997090909101</v>
      </c>
      <c r="D232" s="114" t="s">
        <v>156</v>
      </c>
      <c r="E232" s="114"/>
      <c r="F232" s="114"/>
      <c r="G232" s="261"/>
    </row>
    <row r="233" spans="1:11" s="81" customFormat="1" ht="13.5" customHeight="1">
      <c r="A233" s="110"/>
      <c r="B233" s="113"/>
      <c r="C233" s="249"/>
      <c r="D233" s="114"/>
      <c r="E233" s="114"/>
      <c r="F233" s="114"/>
      <c r="G233" s="261"/>
    </row>
    <row r="234" spans="1:11" s="81" customFormat="1" ht="13.5" customHeight="1">
      <c r="A234" s="108">
        <v>3.6</v>
      </c>
      <c r="B234" s="378" t="s">
        <v>93</v>
      </c>
      <c r="C234" s="249"/>
      <c r="D234" s="114"/>
      <c r="E234" s="114"/>
      <c r="F234" s="114"/>
      <c r="G234" s="261"/>
    </row>
    <row r="235" spans="1:11" s="81" customFormat="1" ht="13.5" customHeight="1">
      <c r="A235" s="382"/>
      <c r="B235" s="109" t="s">
        <v>25</v>
      </c>
      <c r="C235" s="249"/>
      <c r="D235" s="114"/>
      <c r="E235" s="114"/>
      <c r="F235" s="114"/>
      <c r="G235" s="261"/>
    </row>
    <row r="236" spans="1:11" s="81" customFormat="1" ht="76.5">
      <c r="A236" s="382"/>
      <c r="B236" s="118" t="s">
        <v>97</v>
      </c>
      <c r="C236" s="249"/>
      <c r="D236" s="114"/>
      <c r="E236" s="114"/>
      <c r="F236" s="114"/>
      <c r="G236" s="261"/>
    </row>
    <row r="237" spans="1:11" s="81" customFormat="1">
      <c r="A237" s="116" t="s">
        <v>148</v>
      </c>
      <c r="B237" s="109" t="s">
        <v>32</v>
      </c>
      <c r="C237" s="249"/>
      <c r="D237" s="114"/>
      <c r="E237" s="114"/>
      <c r="F237" s="114"/>
      <c r="G237" s="261"/>
    </row>
    <row r="238" spans="1:11" s="81" customFormat="1" ht="12.95" customHeight="1">
      <c r="A238" s="110">
        <v>1</v>
      </c>
      <c r="B238" s="113" t="s">
        <v>482</v>
      </c>
      <c r="C238" s="249">
        <f>cal!I26</f>
        <v>104.5273</v>
      </c>
      <c r="D238" s="114" t="s">
        <v>39</v>
      </c>
      <c r="E238" s="114"/>
      <c r="F238" s="114"/>
      <c r="G238" s="261"/>
    </row>
    <row r="239" spans="1:11" s="81" customFormat="1" ht="12.95" customHeight="1">
      <c r="A239" s="110">
        <v>2</v>
      </c>
      <c r="B239" s="113" t="s">
        <v>403</v>
      </c>
      <c r="C239" s="249">
        <f>cal!I29+cal!I27</f>
        <v>166.22729999999996</v>
      </c>
      <c r="D239" s="264" t="s">
        <v>39</v>
      </c>
      <c r="E239" s="114"/>
      <c r="F239" s="114"/>
      <c r="G239" s="261"/>
    </row>
    <row r="240" spans="1:11" s="81" customFormat="1" ht="12.95" customHeight="1">
      <c r="A240" s="110">
        <v>3</v>
      </c>
      <c r="B240" s="380" t="s">
        <v>484</v>
      </c>
      <c r="C240" s="249">
        <f>cal!I37</f>
        <v>1.4350000000000001</v>
      </c>
      <c r="D240" s="114" t="s">
        <v>39</v>
      </c>
      <c r="E240" s="114"/>
      <c r="F240" s="114"/>
      <c r="G240" s="261"/>
    </row>
    <row r="241" spans="1:9" s="81" customFormat="1" ht="12.95" customHeight="1">
      <c r="A241" s="110">
        <v>4</v>
      </c>
      <c r="B241" s="380" t="s">
        <v>388</v>
      </c>
      <c r="C241" s="249">
        <f>cal!I54</f>
        <v>17.999999999999996</v>
      </c>
      <c r="D241" s="114" t="s">
        <v>39</v>
      </c>
      <c r="E241" s="114"/>
      <c r="F241" s="114"/>
      <c r="G241" s="261"/>
    </row>
    <row r="242" spans="1:9" s="81" customFormat="1" ht="12.95" customHeight="1">
      <c r="A242" s="110">
        <v>5</v>
      </c>
      <c r="B242" s="380" t="s">
        <v>285</v>
      </c>
      <c r="C242" s="249">
        <f>cal!I57</f>
        <v>21.6</v>
      </c>
      <c r="D242" s="264" t="s">
        <v>39</v>
      </c>
      <c r="E242" s="114"/>
      <c r="F242" s="114"/>
      <c r="G242" s="261"/>
    </row>
    <row r="243" spans="1:9" s="115" customFormat="1" ht="7.5" customHeight="1">
      <c r="A243" s="110"/>
      <c r="B243" s="113"/>
      <c r="C243" s="249"/>
      <c r="D243" s="114"/>
      <c r="E243" s="114"/>
      <c r="F243" s="114"/>
      <c r="G243" s="261"/>
      <c r="H243" s="81"/>
      <c r="I243" s="81"/>
    </row>
    <row r="244" spans="1:9" s="115" customFormat="1" ht="13.5" customHeight="1">
      <c r="A244" s="110" t="s">
        <v>149</v>
      </c>
      <c r="B244" s="109" t="s">
        <v>209</v>
      </c>
      <c r="C244" s="249"/>
      <c r="D244" s="114"/>
      <c r="E244" s="114"/>
      <c r="F244" s="114"/>
      <c r="G244" s="261"/>
      <c r="H244" s="81"/>
      <c r="I244" s="81"/>
    </row>
    <row r="245" spans="1:9" s="81" customFormat="1" ht="13.5" customHeight="1">
      <c r="A245" s="110">
        <v>1</v>
      </c>
      <c r="B245" s="380" t="s">
        <v>388</v>
      </c>
      <c r="C245" s="249">
        <f>cal!I54+cal!I76</f>
        <v>93.75</v>
      </c>
      <c r="D245" s="114" t="s">
        <v>39</v>
      </c>
      <c r="E245" s="114"/>
      <c r="F245" s="114"/>
      <c r="G245" s="261"/>
    </row>
    <row r="246" spans="1:9" s="81" customFormat="1" ht="13.5" customHeight="1">
      <c r="A246" s="110">
        <v>2</v>
      </c>
      <c r="B246" s="380" t="s">
        <v>396</v>
      </c>
      <c r="C246" s="249">
        <f>cal!I37+cal!I81</f>
        <v>15.665000000000001</v>
      </c>
      <c r="D246" s="114" t="s">
        <v>39</v>
      </c>
      <c r="E246" s="114"/>
      <c r="F246" s="114"/>
      <c r="G246" s="261"/>
    </row>
    <row r="247" spans="1:9" s="81" customFormat="1" ht="13.5" customHeight="1">
      <c r="A247" s="110">
        <v>3</v>
      </c>
      <c r="B247" s="380" t="s">
        <v>285</v>
      </c>
      <c r="C247" s="249">
        <f>cal!I85</f>
        <v>41.64</v>
      </c>
      <c r="D247" s="264" t="s">
        <v>39</v>
      </c>
      <c r="E247" s="114"/>
      <c r="F247" s="114"/>
      <c r="G247" s="261"/>
    </row>
    <row r="248" spans="1:9" s="115" customFormat="1">
      <c r="A248" s="110"/>
      <c r="B248" s="113"/>
      <c r="C248" s="249"/>
      <c r="D248" s="114"/>
      <c r="E248" s="114"/>
      <c r="F248" s="114"/>
      <c r="G248" s="261"/>
      <c r="H248" s="81"/>
      <c r="I248" s="81"/>
    </row>
    <row r="249" spans="1:9" s="81" customFormat="1" ht="13.5" customHeight="1">
      <c r="A249" s="376" t="s">
        <v>150</v>
      </c>
      <c r="B249" s="109" t="s">
        <v>210</v>
      </c>
      <c r="C249" s="249"/>
      <c r="D249" s="114"/>
      <c r="E249" s="114"/>
      <c r="F249" s="114"/>
      <c r="G249" s="261"/>
    </row>
    <row r="250" spans="1:9" s="81" customFormat="1" ht="13.5" customHeight="1">
      <c r="A250" s="110">
        <v>1</v>
      </c>
      <c r="B250" s="113" t="s">
        <v>405</v>
      </c>
      <c r="C250" s="249">
        <f>cal!I100+cal!I113</f>
        <v>509.78194500000001</v>
      </c>
      <c r="D250" s="114" t="s">
        <v>39</v>
      </c>
      <c r="E250" s="114"/>
      <c r="F250" s="114"/>
      <c r="G250" s="261"/>
    </row>
    <row r="251" spans="1:9" s="115" customFormat="1" ht="13.5" customHeight="1">
      <c r="A251" s="110">
        <v>2</v>
      </c>
      <c r="B251" s="380" t="s">
        <v>388</v>
      </c>
      <c r="C251" s="249">
        <f>cal!I127</f>
        <v>75.75</v>
      </c>
      <c r="D251" s="114" t="s">
        <v>39</v>
      </c>
      <c r="E251" s="114"/>
      <c r="F251" s="114"/>
      <c r="G251" s="261"/>
      <c r="H251" s="81"/>
      <c r="I251" s="81"/>
    </row>
    <row r="252" spans="1:9" s="81" customFormat="1" ht="13.5" customHeight="1">
      <c r="A252" s="110">
        <v>3</v>
      </c>
      <c r="B252" s="380" t="s">
        <v>396</v>
      </c>
      <c r="C252" s="249">
        <f>cal!I132</f>
        <v>10.065699999999998</v>
      </c>
      <c r="D252" s="114" t="s">
        <v>39</v>
      </c>
      <c r="E252" s="114"/>
      <c r="F252" s="114"/>
      <c r="G252" s="261"/>
    </row>
    <row r="253" spans="1:9" s="81" customFormat="1" ht="13.5" customHeight="1">
      <c r="A253" s="110">
        <v>4</v>
      </c>
      <c r="B253" s="380" t="s">
        <v>285</v>
      </c>
      <c r="C253" s="249">
        <f>cal!I85</f>
        <v>41.64</v>
      </c>
      <c r="D253" s="264" t="s">
        <v>39</v>
      </c>
      <c r="E253" s="114"/>
      <c r="F253" s="114"/>
      <c r="G253" s="261"/>
    </row>
    <row r="254" spans="1:9" s="115" customFormat="1" ht="8.25" customHeight="1">
      <c r="A254" s="110"/>
      <c r="B254" s="113"/>
      <c r="C254" s="249"/>
      <c r="D254" s="114"/>
      <c r="E254" s="114"/>
      <c r="F254" s="114"/>
      <c r="G254" s="261"/>
      <c r="H254" s="81"/>
      <c r="I254" s="81"/>
    </row>
    <row r="255" spans="1:9" s="81" customFormat="1" ht="13.5" customHeight="1">
      <c r="A255" s="376" t="s">
        <v>157</v>
      </c>
      <c r="B255" s="109" t="s">
        <v>483</v>
      </c>
      <c r="C255" s="249"/>
      <c r="D255" s="114"/>
      <c r="E255" s="114"/>
      <c r="F255" s="114"/>
      <c r="G255" s="261"/>
    </row>
    <row r="256" spans="1:9" s="81" customFormat="1" ht="13.5" customHeight="1">
      <c r="A256" s="110">
        <v>1</v>
      </c>
      <c r="B256" s="113" t="s">
        <v>405</v>
      </c>
      <c r="C256" s="249">
        <f>cal!I106+cal!I119</f>
        <v>249.9255</v>
      </c>
      <c r="D256" s="114" t="s">
        <v>39</v>
      </c>
      <c r="E256" s="114"/>
      <c r="F256" s="114"/>
      <c r="G256" s="261"/>
    </row>
    <row r="257" spans="1:9" s="115" customFormat="1" ht="13.5" customHeight="1">
      <c r="A257" s="110">
        <v>2</v>
      </c>
      <c r="B257" s="380" t="s">
        <v>388</v>
      </c>
      <c r="C257" s="249">
        <f>cal!I133</f>
        <v>125.45</v>
      </c>
      <c r="D257" s="114" t="s">
        <v>39</v>
      </c>
      <c r="E257" s="114"/>
      <c r="F257" s="114"/>
      <c r="G257" s="261"/>
      <c r="H257" s="81"/>
      <c r="I257" s="81"/>
    </row>
    <row r="258" spans="1:9" s="81" customFormat="1" ht="13.5" customHeight="1">
      <c r="A258" s="110">
        <v>3</v>
      </c>
      <c r="B258" s="380" t="s">
        <v>396</v>
      </c>
      <c r="C258" s="249">
        <f>cal!I138</f>
        <v>8.2052599999999991</v>
      </c>
      <c r="D258" s="114" t="s">
        <v>39</v>
      </c>
      <c r="E258" s="114"/>
      <c r="F258" s="114"/>
      <c r="G258" s="261"/>
    </row>
    <row r="259" spans="1:9" s="81" customFormat="1" ht="13.5" customHeight="1">
      <c r="A259" s="110">
        <v>4</v>
      </c>
      <c r="B259" s="380" t="s">
        <v>285</v>
      </c>
      <c r="C259" s="249">
        <f>cal!I91</f>
        <v>25.046939999999999</v>
      </c>
      <c r="D259" s="264" t="s">
        <v>39</v>
      </c>
      <c r="E259" s="114"/>
      <c r="F259" s="114"/>
      <c r="G259" s="261"/>
    </row>
    <row r="260" spans="1:9" s="115" customFormat="1" ht="8.25" customHeight="1">
      <c r="A260" s="110"/>
      <c r="B260" s="113"/>
      <c r="C260" s="249"/>
      <c r="D260" s="114"/>
      <c r="E260" s="114"/>
      <c r="F260" s="114"/>
      <c r="G260" s="261"/>
      <c r="H260" s="81"/>
      <c r="I260" s="81"/>
    </row>
    <row r="261" spans="1:9" s="81" customFormat="1" ht="13.5" customHeight="1">
      <c r="A261" s="376" t="s">
        <v>487</v>
      </c>
      <c r="B261" s="109" t="s">
        <v>399</v>
      </c>
      <c r="C261" s="249"/>
      <c r="D261" s="114"/>
      <c r="E261" s="114"/>
      <c r="F261" s="114"/>
      <c r="G261" s="261"/>
    </row>
    <row r="262" spans="1:9" s="81" customFormat="1" ht="13.5" customHeight="1">
      <c r="A262" s="110">
        <v>1</v>
      </c>
      <c r="B262" s="113" t="s">
        <v>405</v>
      </c>
      <c r="C262" s="249">
        <f>C250</f>
        <v>509.78194500000001</v>
      </c>
      <c r="D262" s="114" t="s">
        <v>39</v>
      </c>
      <c r="E262" s="114"/>
      <c r="F262" s="114"/>
      <c r="G262" s="261"/>
    </row>
    <row r="263" spans="1:9" s="115" customFormat="1" ht="13.5" customHeight="1">
      <c r="A263" s="110">
        <v>2</v>
      </c>
      <c r="B263" s="380" t="s">
        <v>388</v>
      </c>
      <c r="C263" s="249">
        <f>cal!I303</f>
        <v>23.545624999999998</v>
      </c>
      <c r="D263" s="114" t="s">
        <v>39</v>
      </c>
      <c r="E263" s="114"/>
      <c r="F263" s="114"/>
      <c r="G263" s="261"/>
      <c r="H263" s="81"/>
      <c r="I263" s="81"/>
    </row>
    <row r="264" spans="1:9" s="81" customFormat="1" ht="13.5" customHeight="1">
      <c r="A264" s="110">
        <v>3</v>
      </c>
      <c r="B264" s="380" t="s">
        <v>285</v>
      </c>
      <c r="C264" s="249">
        <f>cal!I290</f>
        <v>77.92</v>
      </c>
      <c r="D264" s="264" t="s">
        <v>39</v>
      </c>
      <c r="E264" s="114"/>
      <c r="F264" s="114"/>
      <c r="G264" s="261"/>
    </row>
    <row r="265" spans="1:9" s="115" customFormat="1" ht="8.25" customHeight="1">
      <c r="A265" s="110"/>
      <c r="B265" s="113"/>
      <c r="C265" s="249"/>
      <c r="D265" s="114"/>
      <c r="E265" s="114"/>
      <c r="F265" s="114"/>
      <c r="G265" s="261"/>
      <c r="H265" s="81"/>
      <c r="I265" s="81"/>
    </row>
    <row r="266" spans="1:9" s="115" customFormat="1" ht="13.5" customHeight="1">
      <c r="A266" s="376" t="s">
        <v>488</v>
      </c>
      <c r="B266" s="109" t="s">
        <v>410</v>
      </c>
      <c r="C266" s="249"/>
      <c r="D266" s="391"/>
      <c r="E266" s="114"/>
      <c r="F266" s="114"/>
      <c r="G266" s="261"/>
      <c r="H266" s="81"/>
      <c r="I266" s="81"/>
    </row>
    <row r="267" spans="1:9" s="115" customFormat="1" ht="13.5" customHeight="1">
      <c r="A267" s="110">
        <v>1</v>
      </c>
      <c r="B267" s="113" t="s">
        <v>410</v>
      </c>
      <c r="C267" s="249">
        <f>cal!I332+cal!I333</f>
        <v>154.33262500000001</v>
      </c>
      <c r="D267" s="114" t="s">
        <v>39</v>
      </c>
      <c r="E267" s="114"/>
      <c r="F267" s="114"/>
      <c r="G267" s="261"/>
      <c r="H267" s="81"/>
      <c r="I267" s="81"/>
    </row>
    <row r="268" spans="1:9" s="115" customFormat="1" ht="13.5" customHeight="1">
      <c r="A268" s="110"/>
      <c r="B268" s="113"/>
      <c r="C268" s="249"/>
      <c r="D268" s="114"/>
      <c r="E268" s="114"/>
      <c r="F268" s="114"/>
      <c r="G268" s="261"/>
      <c r="H268" s="81"/>
      <c r="I268" s="81"/>
    </row>
    <row r="269" spans="1:9" s="115" customFormat="1" ht="13.5" customHeight="1">
      <c r="A269" s="110"/>
      <c r="B269" s="113"/>
      <c r="C269" s="249"/>
      <c r="D269" s="114"/>
      <c r="E269" s="114"/>
      <c r="F269" s="114"/>
      <c r="G269" s="261"/>
      <c r="H269" s="81"/>
      <c r="I269" s="81"/>
    </row>
    <row r="270" spans="1:9" s="115" customFormat="1" ht="13.5" customHeight="1">
      <c r="A270" s="110"/>
      <c r="B270" s="113"/>
      <c r="C270" s="249"/>
      <c r="D270" s="114"/>
      <c r="E270" s="114"/>
      <c r="F270" s="114"/>
      <c r="G270" s="261"/>
      <c r="H270" s="81"/>
      <c r="I270" s="81"/>
    </row>
    <row r="271" spans="1:9" s="115" customFormat="1" ht="13.5" customHeight="1">
      <c r="A271" s="110"/>
      <c r="B271" s="113"/>
      <c r="C271" s="249"/>
      <c r="D271" s="114"/>
      <c r="E271" s="114"/>
      <c r="F271" s="114"/>
      <c r="G271" s="261"/>
      <c r="H271" s="81"/>
      <c r="I271" s="81"/>
    </row>
    <row r="272" spans="1:9" s="115" customFormat="1" ht="13.5" customHeight="1">
      <c r="A272" s="110"/>
      <c r="B272" s="113"/>
      <c r="C272" s="249"/>
      <c r="D272" s="114"/>
      <c r="E272" s="114"/>
      <c r="F272" s="114"/>
      <c r="G272" s="261"/>
      <c r="H272" s="81"/>
      <c r="I272" s="81"/>
    </row>
    <row r="273" spans="1:9" s="115" customFormat="1" ht="13.5" customHeight="1">
      <c r="A273" s="110"/>
      <c r="B273" s="113"/>
      <c r="C273" s="249"/>
      <c r="D273" s="114"/>
      <c r="E273" s="114"/>
      <c r="F273" s="114"/>
      <c r="G273" s="261"/>
      <c r="H273" s="81"/>
      <c r="I273" s="81"/>
    </row>
    <row r="274" spans="1:9" s="115" customFormat="1" ht="13.5" customHeight="1">
      <c r="A274" s="110"/>
      <c r="B274" s="113"/>
      <c r="C274" s="249"/>
      <c r="D274" s="114"/>
      <c r="E274" s="114"/>
      <c r="F274" s="114"/>
      <c r="G274" s="261"/>
      <c r="H274" s="81"/>
      <c r="I274" s="81"/>
    </row>
    <row r="275" spans="1:9" s="115" customFormat="1" ht="13.5" customHeight="1">
      <c r="A275" s="110"/>
      <c r="B275" s="113"/>
      <c r="C275" s="249"/>
      <c r="D275" s="114"/>
      <c r="E275" s="114"/>
      <c r="F275" s="114"/>
      <c r="G275" s="261"/>
      <c r="H275" s="81"/>
      <c r="I275" s="81"/>
    </row>
    <row r="276" spans="1:9" s="115" customFormat="1" ht="13.5" customHeight="1">
      <c r="A276" s="365"/>
      <c r="B276" s="392"/>
      <c r="C276" s="367"/>
      <c r="D276" s="368"/>
      <c r="E276" s="368"/>
      <c r="F276" s="368"/>
      <c r="G276" s="339"/>
    </row>
    <row r="277" spans="1:9" s="81" customFormat="1" ht="17.25" customHeight="1">
      <c r="A277" s="374"/>
      <c r="B277" s="369" t="s">
        <v>129</v>
      </c>
      <c r="C277" s="393"/>
      <c r="D277" s="348"/>
      <c r="E277" s="256"/>
      <c r="F277" s="256"/>
      <c r="G277" s="256"/>
    </row>
    <row r="278" spans="1:9" s="81" customFormat="1">
      <c r="A278" s="341"/>
      <c r="B278" s="497" t="s">
        <v>43</v>
      </c>
      <c r="C278" s="497"/>
      <c r="D278" s="497"/>
      <c r="E278" s="258"/>
      <c r="F278" s="258"/>
      <c r="G278" s="258"/>
    </row>
    <row r="279" spans="1:9" s="81" customFormat="1" ht="18" customHeight="1">
      <c r="A279" s="394"/>
      <c r="B279" s="322" t="s">
        <v>44</v>
      </c>
      <c r="C279" s="395"/>
      <c r="D279" s="396"/>
      <c r="E279" s="396"/>
      <c r="F279" s="396"/>
      <c r="G279" s="324"/>
    </row>
    <row r="280" spans="1:9" s="81" customFormat="1">
      <c r="A280" s="119"/>
      <c r="B280" s="106" t="s">
        <v>4</v>
      </c>
      <c r="C280" s="259"/>
      <c r="D280" s="260"/>
      <c r="E280" s="260"/>
      <c r="F280" s="260"/>
      <c r="G280" s="256"/>
    </row>
    <row r="281" spans="1:9" s="81" customFormat="1">
      <c r="A281" s="116"/>
      <c r="B281" s="107"/>
      <c r="C281" s="249"/>
      <c r="D281" s="114"/>
      <c r="E281" s="114"/>
      <c r="F281" s="114"/>
      <c r="G281" s="261"/>
    </row>
    <row r="282" spans="1:9" s="81" customFormat="1">
      <c r="A282" s="108">
        <v>4.0999999999999996</v>
      </c>
      <c r="B282" s="120" t="s">
        <v>25</v>
      </c>
      <c r="C282" s="249"/>
      <c r="D282" s="114"/>
      <c r="E282" s="114"/>
      <c r="F282" s="114"/>
      <c r="G282" s="261"/>
    </row>
    <row r="283" spans="1:9" s="115" customFormat="1" ht="123.75">
      <c r="A283" s="121"/>
      <c r="B283" s="226" t="s">
        <v>544</v>
      </c>
      <c r="C283" s="249"/>
      <c r="D283" s="114"/>
      <c r="E283" s="114"/>
      <c r="F283" s="114"/>
      <c r="G283" s="261"/>
    </row>
    <row r="284" spans="1:9" s="81" customFormat="1">
      <c r="A284" s="108">
        <v>4.2</v>
      </c>
      <c r="B284" s="117" t="s">
        <v>546</v>
      </c>
      <c r="C284" s="249"/>
      <c r="D284" s="114"/>
      <c r="E284" s="114"/>
      <c r="F284" s="262"/>
      <c r="G284" s="261"/>
    </row>
    <row r="285" spans="1:9" s="81" customFormat="1">
      <c r="A285" s="248" t="s">
        <v>158</v>
      </c>
      <c r="B285" s="397" t="s">
        <v>547</v>
      </c>
      <c r="C285" s="249"/>
      <c r="D285" s="263"/>
      <c r="E285" s="114"/>
      <c r="F285" s="114"/>
      <c r="G285" s="261"/>
    </row>
    <row r="286" spans="1:9" s="81" customFormat="1" ht="13.5" customHeight="1">
      <c r="A286" s="110">
        <v>1</v>
      </c>
      <c r="B286" s="111" t="s">
        <v>221</v>
      </c>
      <c r="C286" s="249">
        <f>cal!F394+cal!F395</f>
        <v>415.33800000000008</v>
      </c>
      <c r="D286" s="114" t="s">
        <v>39</v>
      </c>
      <c r="E286" s="114"/>
      <c r="F286" s="114"/>
      <c r="G286" s="261"/>
    </row>
    <row r="287" spans="1:9" s="81" customFormat="1" ht="13.5" customHeight="1">
      <c r="A287" s="110">
        <v>2</v>
      </c>
      <c r="B287" s="111" t="s">
        <v>206</v>
      </c>
      <c r="C287" s="249">
        <f>cal!F396+cal!F397</f>
        <v>409.72889999999995</v>
      </c>
      <c r="D287" s="114" t="s">
        <v>39</v>
      </c>
      <c r="E287" s="114"/>
      <c r="F287" s="114"/>
      <c r="G287" s="261"/>
    </row>
    <row r="288" spans="1:9" s="81" customFormat="1" ht="13.5" customHeight="1">
      <c r="A288" s="110">
        <v>3</v>
      </c>
      <c r="B288" s="111" t="s">
        <v>207</v>
      </c>
      <c r="C288" s="249">
        <f>cal!F398+cal!F399</f>
        <v>429.3639</v>
      </c>
      <c r="D288" s="114" t="s">
        <v>39</v>
      </c>
      <c r="E288" s="114"/>
      <c r="F288" s="114"/>
      <c r="G288" s="261"/>
    </row>
    <row r="289" spans="1:7" s="81" customFormat="1" ht="13.5" customHeight="1">
      <c r="A289" s="110">
        <v>4</v>
      </c>
      <c r="B289" s="118" t="s">
        <v>411</v>
      </c>
      <c r="C289" s="249">
        <f>cal!F401+cal!F402</f>
        <v>153.61955</v>
      </c>
      <c r="D289" s="114" t="s">
        <v>39</v>
      </c>
      <c r="E289" s="114"/>
      <c r="F289" s="114"/>
      <c r="G289" s="261"/>
    </row>
    <row r="290" spans="1:7" s="81" customFormat="1" ht="13.5" customHeight="1">
      <c r="A290" s="110">
        <v>5</v>
      </c>
      <c r="B290" s="118" t="s">
        <v>489</v>
      </c>
      <c r="C290" s="249">
        <f>cal!F404+cal!F405</f>
        <v>63.597999999999999</v>
      </c>
      <c r="D290" s="114" t="s">
        <v>39</v>
      </c>
      <c r="E290" s="114"/>
      <c r="F290" s="114"/>
      <c r="G290" s="261"/>
    </row>
    <row r="291" spans="1:7" s="81" customFormat="1" ht="13.5" customHeight="1">
      <c r="A291" s="110"/>
      <c r="B291" s="111"/>
      <c r="C291" s="249"/>
      <c r="D291" s="114"/>
      <c r="E291" s="114"/>
      <c r="F291" s="114"/>
      <c r="G291" s="261"/>
    </row>
    <row r="292" spans="1:7" s="81" customFormat="1">
      <c r="A292" s="108">
        <v>4.3</v>
      </c>
      <c r="B292" s="120" t="s">
        <v>41</v>
      </c>
      <c r="C292" s="249"/>
      <c r="D292" s="114"/>
      <c r="E292" s="114"/>
      <c r="F292" s="114"/>
      <c r="G292" s="261"/>
    </row>
    <row r="293" spans="1:7" s="81" customFormat="1" ht="22.5">
      <c r="A293" s="108"/>
      <c r="B293" s="227" t="s">
        <v>159</v>
      </c>
      <c r="C293" s="249"/>
      <c r="D293" s="114"/>
      <c r="E293" s="114"/>
      <c r="F293" s="114"/>
      <c r="G293" s="261"/>
    </row>
    <row r="294" spans="1:7" s="81" customFormat="1">
      <c r="A294" s="108" t="s">
        <v>160</v>
      </c>
      <c r="B294" s="398" t="s">
        <v>219</v>
      </c>
      <c r="C294" s="249"/>
      <c r="D294" s="114"/>
      <c r="E294" s="114"/>
      <c r="F294" s="114"/>
      <c r="G294" s="261"/>
    </row>
    <row r="295" spans="1:7" s="81" customFormat="1" ht="70.5" customHeight="1">
      <c r="A295" s="108"/>
      <c r="B295" s="479" t="s">
        <v>545</v>
      </c>
      <c r="C295" s="249"/>
      <c r="D295" s="114"/>
      <c r="E295" s="114"/>
      <c r="F295" s="114"/>
      <c r="G295" s="261"/>
    </row>
    <row r="296" spans="1:7" s="81" customFormat="1">
      <c r="A296" s="110">
        <v>1</v>
      </c>
      <c r="B296" s="111" t="s">
        <v>221</v>
      </c>
      <c r="C296" s="249">
        <f>cal!G394+cal!G395</f>
        <v>830.67600000000016</v>
      </c>
      <c r="D296" s="114" t="s">
        <v>39</v>
      </c>
      <c r="E296" s="114"/>
      <c r="F296" s="114"/>
      <c r="G296" s="261"/>
    </row>
    <row r="297" spans="1:7" s="81" customFormat="1">
      <c r="A297" s="110">
        <v>2</v>
      </c>
      <c r="B297" s="111" t="s">
        <v>206</v>
      </c>
      <c r="C297" s="249">
        <f>cal!G396+cal!G397</f>
        <v>819.45779999999991</v>
      </c>
      <c r="D297" s="114" t="s">
        <v>39</v>
      </c>
      <c r="E297" s="114"/>
      <c r="F297" s="114"/>
      <c r="G297" s="261"/>
    </row>
    <row r="298" spans="1:7" s="81" customFormat="1">
      <c r="A298" s="110">
        <v>3</v>
      </c>
      <c r="B298" s="111" t="s">
        <v>207</v>
      </c>
      <c r="C298" s="249">
        <f>cal!G398+cal!G399</f>
        <v>858.7278</v>
      </c>
      <c r="D298" s="114" t="s">
        <v>39</v>
      </c>
      <c r="E298" s="114"/>
      <c r="F298" s="114"/>
      <c r="G298" s="261"/>
    </row>
    <row r="299" spans="1:7" s="81" customFormat="1" ht="13.5" customHeight="1">
      <c r="A299" s="110">
        <v>4</v>
      </c>
      <c r="B299" s="118" t="s">
        <v>411</v>
      </c>
      <c r="C299" s="249">
        <f>cal!G401+cal!G402</f>
        <v>509.43369999999999</v>
      </c>
      <c r="D299" s="114" t="s">
        <v>39</v>
      </c>
      <c r="E299" s="114"/>
      <c r="F299" s="114"/>
      <c r="G299" s="261"/>
    </row>
    <row r="300" spans="1:7" s="81" customFormat="1" ht="13.5" customHeight="1">
      <c r="A300" s="110">
        <v>5</v>
      </c>
      <c r="B300" s="118" t="s">
        <v>489</v>
      </c>
      <c r="C300" s="249">
        <f>cal!G404+cal!G405</f>
        <v>236.642</v>
      </c>
      <c r="D300" s="114" t="s">
        <v>39</v>
      </c>
      <c r="E300" s="114"/>
      <c r="F300" s="114"/>
      <c r="G300" s="261"/>
    </row>
    <row r="301" spans="1:7" s="81" customFormat="1">
      <c r="A301" s="110"/>
      <c r="B301" s="382"/>
      <c r="C301" s="249"/>
      <c r="D301" s="114"/>
      <c r="E301" s="114"/>
      <c r="F301" s="114"/>
      <c r="G301" s="261"/>
    </row>
    <row r="302" spans="1:7" s="81" customFormat="1">
      <c r="A302" s="108">
        <v>4.4000000000000004</v>
      </c>
      <c r="B302" s="120" t="s">
        <v>42</v>
      </c>
      <c r="C302" s="249"/>
      <c r="D302" s="114"/>
      <c r="E302" s="114"/>
      <c r="F302" s="114"/>
      <c r="G302" s="261"/>
    </row>
    <row r="303" spans="1:7" s="81" customFormat="1" ht="38.25">
      <c r="A303" s="116" t="s">
        <v>165</v>
      </c>
      <c r="B303" s="175" t="s">
        <v>164</v>
      </c>
      <c r="C303" s="249"/>
      <c r="D303" s="114"/>
      <c r="E303" s="114"/>
      <c r="F303" s="114"/>
      <c r="G303" s="261"/>
    </row>
    <row r="304" spans="1:7" s="81" customFormat="1">
      <c r="A304" s="110">
        <v>1</v>
      </c>
      <c r="B304" s="111" t="s">
        <v>221</v>
      </c>
      <c r="C304" s="265">
        <f>cal!H394</f>
        <v>333.26249999999999</v>
      </c>
      <c r="D304" s="114" t="s">
        <v>39</v>
      </c>
      <c r="E304" s="114"/>
      <c r="F304" s="114"/>
      <c r="G304" s="261"/>
    </row>
    <row r="305" spans="1:7" s="81" customFormat="1">
      <c r="A305" s="110">
        <v>2</v>
      </c>
      <c r="B305" s="111" t="s">
        <v>206</v>
      </c>
      <c r="C305" s="265">
        <f>cal!H396</f>
        <v>333.26249999999999</v>
      </c>
      <c r="D305" s="114" t="s">
        <v>39</v>
      </c>
      <c r="E305" s="114"/>
      <c r="F305" s="114"/>
      <c r="G305" s="261"/>
    </row>
    <row r="306" spans="1:7" s="81" customFormat="1">
      <c r="A306" s="110">
        <v>3</v>
      </c>
      <c r="B306" s="111" t="s">
        <v>207</v>
      </c>
      <c r="C306" s="265">
        <f>cal!H398</f>
        <v>333.26249999999999</v>
      </c>
      <c r="D306" s="114" t="s">
        <v>39</v>
      </c>
      <c r="E306" s="114"/>
      <c r="F306" s="114"/>
      <c r="G306" s="261"/>
    </row>
    <row r="307" spans="1:7" s="81" customFormat="1" ht="13.5" customHeight="1">
      <c r="A307" s="110">
        <v>4</v>
      </c>
      <c r="B307" s="118" t="s">
        <v>411</v>
      </c>
      <c r="C307" s="249">
        <f>cal!H401</f>
        <v>333.26249999999999</v>
      </c>
      <c r="D307" s="114" t="s">
        <v>39</v>
      </c>
      <c r="E307" s="114"/>
      <c r="F307" s="114"/>
      <c r="G307" s="261"/>
    </row>
    <row r="308" spans="1:7" s="81" customFormat="1">
      <c r="A308" s="110"/>
      <c r="B308" s="382"/>
      <c r="C308" s="265"/>
      <c r="D308" s="114"/>
      <c r="E308" s="114"/>
      <c r="F308" s="262"/>
      <c r="G308" s="261"/>
    </row>
    <row r="309" spans="1:7" s="81" customFormat="1">
      <c r="A309" s="110"/>
      <c r="B309" s="118"/>
      <c r="C309" s="265"/>
      <c r="D309" s="114"/>
      <c r="E309" s="114"/>
      <c r="F309" s="262"/>
      <c r="G309" s="261"/>
    </row>
    <row r="310" spans="1:7" s="81" customFormat="1">
      <c r="A310" s="110"/>
      <c r="B310" s="118"/>
      <c r="C310" s="265"/>
      <c r="D310" s="114"/>
      <c r="E310" s="114"/>
      <c r="F310" s="262"/>
      <c r="G310" s="261"/>
    </row>
    <row r="311" spans="1:7" s="81" customFormat="1">
      <c r="A311" s="110"/>
      <c r="B311" s="118"/>
      <c r="C311" s="265"/>
      <c r="D311" s="114"/>
      <c r="E311" s="114"/>
      <c r="F311" s="262"/>
      <c r="G311" s="261"/>
    </row>
    <row r="312" spans="1:7" s="81" customFormat="1">
      <c r="A312" s="110"/>
      <c r="B312" s="118"/>
      <c r="C312" s="265"/>
      <c r="D312" s="114"/>
      <c r="E312" s="114"/>
      <c r="F312" s="262"/>
      <c r="G312" s="261"/>
    </row>
    <row r="313" spans="1:7" s="81" customFormat="1">
      <c r="A313" s="110"/>
      <c r="B313" s="118"/>
      <c r="C313" s="265"/>
      <c r="D313" s="114"/>
      <c r="E313" s="114"/>
      <c r="F313" s="262"/>
      <c r="G313" s="261"/>
    </row>
    <row r="314" spans="1:7" s="81" customFormat="1">
      <c r="A314" s="110"/>
      <c r="B314" s="118"/>
      <c r="C314" s="265"/>
      <c r="D314" s="114"/>
      <c r="E314" s="114"/>
      <c r="F314" s="262"/>
      <c r="G314" s="261"/>
    </row>
    <row r="315" spans="1:7" s="81" customFormat="1">
      <c r="A315" s="110"/>
      <c r="B315" s="118"/>
      <c r="C315" s="265"/>
      <c r="D315" s="114"/>
      <c r="E315" s="114"/>
      <c r="F315" s="262"/>
      <c r="G315" s="261"/>
    </row>
    <row r="316" spans="1:7" s="81" customFormat="1">
      <c r="A316" s="110"/>
      <c r="B316" s="118"/>
      <c r="C316" s="265"/>
      <c r="D316" s="114"/>
      <c r="E316" s="114"/>
      <c r="F316" s="262"/>
      <c r="G316" s="261"/>
    </row>
    <row r="317" spans="1:7" s="81" customFormat="1">
      <c r="A317" s="119"/>
      <c r="B317" s="500" t="s">
        <v>130</v>
      </c>
      <c r="C317" s="500"/>
      <c r="D317" s="266"/>
      <c r="E317" s="256"/>
      <c r="F317" s="256"/>
      <c r="G317" s="256"/>
    </row>
    <row r="318" spans="1:7" s="70" customFormat="1">
      <c r="A318" s="341"/>
      <c r="B318" s="497" t="s">
        <v>47</v>
      </c>
      <c r="C318" s="497"/>
      <c r="D318" s="342"/>
      <c r="E318" s="371"/>
      <c r="F318" s="371"/>
      <c r="G318" s="371"/>
    </row>
    <row r="319" spans="1:7" s="81" customFormat="1">
      <c r="A319" s="394"/>
      <c r="B319" s="322" t="s">
        <v>48</v>
      </c>
      <c r="C319" s="395"/>
      <c r="D319" s="399"/>
      <c r="E319" s="399"/>
      <c r="F319" s="399"/>
      <c r="G319" s="324"/>
    </row>
    <row r="320" spans="1:7" s="81" customFormat="1">
      <c r="A320" s="119"/>
      <c r="B320" s="106" t="s">
        <v>426</v>
      </c>
      <c r="C320" s="259"/>
      <c r="D320" s="266"/>
      <c r="E320" s="266"/>
      <c r="F320" s="266"/>
      <c r="G320" s="256"/>
    </row>
    <row r="321" spans="1:7" s="81" customFormat="1">
      <c r="A321" s="116"/>
      <c r="B321" s="107"/>
      <c r="C321" s="249"/>
      <c r="D321" s="263"/>
      <c r="E321" s="263"/>
      <c r="F321" s="263"/>
      <c r="G321" s="261"/>
    </row>
    <row r="322" spans="1:7" s="81" customFormat="1">
      <c r="A322" s="108">
        <v>5.0999999999999996</v>
      </c>
      <c r="B322" s="122" t="s">
        <v>25</v>
      </c>
      <c r="C322" s="249"/>
      <c r="D322" s="263"/>
      <c r="E322" s="263"/>
      <c r="F322" s="263"/>
      <c r="G322" s="261"/>
    </row>
    <row r="323" spans="1:7" s="81" customFormat="1" ht="76.5">
      <c r="A323" s="116"/>
      <c r="B323" s="111" t="s">
        <v>98</v>
      </c>
      <c r="C323" s="249"/>
      <c r="D323" s="114"/>
      <c r="E323" s="114"/>
      <c r="F323" s="114"/>
      <c r="G323" s="261"/>
    </row>
    <row r="324" spans="1:7" s="81" customFormat="1" ht="25.5">
      <c r="A324" s="116"/>
      <c r="B324" s="111" t="s">
        <v>45</v>
      </c>
      <c r="C324" s="249"/>
      <c r="D324" s="114"/>
      <c r="E324" s="114"/>
      <c r="F324" s="114"/>
      <c r="G324" s="261"/>
    </row>
    <row r="325" spans="1:7" s="81" customFormat="1" ht="38.25">
      <c r="A325" s="116"/>
      <c r="B325" s="111" t="s">
        <v>46</v>
      </c>
      <c r="C325" s="249"/>
      <c r="D325" s="114"/>
      <c r="E325" s="114"/>
      <c r="F325" s="114"/>
      <c r="G325" s="261"/>
    </row>
    <row r="326" spans="1:7" s="81" customFormat="1">
      <c r="A326" s="116"/>
      <c r="B326" s="111"/>
      <c r="C326" s="249"/>
      <c r="D326" s="114"/>
      <c r="E326" s="114"/>
      <c r="F326" s="114"/>
      <c r="G326" s="261"/>
    </row>
    <row r="327" spans="1:7" s="81" customFormat="1" ht="25.5">
      <c r="A327" s="108">
        <v>5.2</v>
      </c>
      <c r="B327" s="109" t="s">
        <v>328</v>
      </c>
      <c r="C327" s="249"/>
      <c r="D327" s="114"/>
      <c r="E327" s="114"/>
      <c r="F327" s="114"/>
      <c r="G327" s="261"/>
    </row>
    <row r="328" spans="1:7" s="81" customFormat="1">
      <c r="A328" s="110">
        <v>1</v>
      </c>
      <c r="B328" s="113" t="s">
        <v>427</v>
      </c>
      <c r="C328" s="273">
        <v>4</v>
      </c>
      <c r="D328" s="264" t="s">
        <v>152</v>
      </c>
      <c r="E328" s="114"/>
      <c r="F328" s="114"/>
      <c r="G328" s="261"/>
    </row>
    <row r="329" spans="1:7" s="81" customFormat="1" ht="16.5" customHeight="1">
      <c r="A329" s="110"/>
      <c r="B329" s="113"/>
      <c r="C329" s="249"/>
      <c r="D329" s="114"/>
      <c r="E329" s="114"/>
      <c r="F329" s="114"/>
      <c r="G329" s="261"/>
    </row>
    <row r="330" spans="1:7" s="81" customFormat="1" ht="25.5">
      <c r="A330" s="108">
        <v>5.3</v>
      </c>
      <c r="B330" s="109" t="s">
        <v>435</v>
      </c>
      <c r="C330" s="249"/>
      <c r="D330" s="114"/>
      <c r="E330" s="114"/>
      <c r="F330" s="114"/>
      <c r="G330" s="261"/>
    </row>
    <row r="331" spans="1:7" s="81" customFormat="1">
      <c r="A331" s="110">
        <v>1</v>
      </c>
      <c r="B331" s="113" t="s">
        <v>428</v>
      </c>
      <c r="C331" s="273">
        <v>1</v>
      </c>
      <c r="D331" s="264" t="s">
        <v>152</v>
      </c>
      <c r="E331" s="114"/>
      <c r="F331" s="114"/>
      <c r="G331" s="261"/>
    </row>
    <row r="332" spans="1:7" s="81" customFormat="1">
      <c r="A332" s="110"/>
      <c r="B332" s="113"/>
      <c r="C332" s="249"/>
      <c r="D332" s="114"/>
      <c r="E332" s="114"/>
      <c r="F332" s="114"/>
      <c r="G332" s="261"/>
    </row>
    <row r="333" spans="1:7" s="81" customFormat="1">
      <c r="A333" s="108"/>
      <c r="B333" s="109"/>
      <c r="C333" s="249"/>
      <c r="D333" s="114"/>
      <c r="E333" s="114"/>
      <c r="F333" s="114"/>
      <c r="G333" s="261"/>
    </row>
    <row r="334" spans="1:7" s="81" customFormat="1">
      <c r="A334" s="108"/>
      <c r="B334" s="109"/>
      <c r="C334" s="249"/>
      <c r="D334" s="114"/>
      <c r="E334" s="114"/>
      <c r="F334" s="114"/>
      <c r="G334" s="261"/>
    </row>
    <row r="335" spans="1:7" s="81" customFormat="1">
      <c r="A335" s="110"/>
      <c r="B335" s="113"/>
      <c r="C335" s="249"/>
      <c r="D335" s="264"/>
      <c r="E335" s="114"/>
      <c r="F335" s="114"/>
      <c r="G335" s="261"/>
    </row>
    <row r="336" spans="1:7" s="81" customFormat="1">
      <c r="A336" s="110"/>
      <c r="B336" s="113"/>
      <c r="C336" s="249"/>
      <c r="D336" s="114"/>
      <c r="E336" s="114"/>
      <c r="F336" s="262"/>
      <c r="G336" s="261"/>
    </row>
    <row r="337" spans="1:7" s="81" customFormat="1">
      <c r="A337" s="110"/>
      <c r="B337" s="113"/>
      <c r="C337" s="249"/>
      <c r="D337" s="114"/>
      <c r="E337" s="114"/>
      <c r="F337" s="262"/>
      <c r="G337" s="261"/>
    </row>
    <row r="338" spans="1:7" s="81" customFormat="1">
      <c r="A338" s="110"/>
      <c r="B338" s="113"/>
      <c r="C338" s="249"/>
      <c r="D338" s="114"/>
      <c r="E338" s="114"/>
      <c r="F338" s="262"/>
      <c r="G338" s="261"/>
    </row>
    <row r="339" spans="1:7" s="81" customFormat="1">
      <c r="A339" s="110"/>
      <c r="B339" s="113"/>
      <c r="C339" s="249"/>
      <c r="D339" s="114"/>
      <c r="E339" s="114"/>
      <c r="F339" s="262"/>
      <c r="G339" s="261"/>
    </row>
    <row r="340" spans="1:7" s="81" customFormat="1">
      <c r="A340" s="110"/>
      <c r="B340" s="113"/>
      <c r="C340" s="249"/>
      <c r="D340" s="114"/>
      <c r="E340" s="114"/>
      <c r="F340" s="262"/>
      <c r="G340" s="261"/>
    </row>
    <row r="341" spans="1:7" s="81" customFormat="1">
      <c r="A341" s="110"/>
      <c r="B341" s="113"/>
      <c r="C341" s="249"/>
      <c r="D341" s="114"/>
      <c r="E341" s="114"/>
      <c r="F341" s="262"/>
      <c r="G341" s="261"/>
    </row>
    <row r="342" spans="1:7" s="81" customFormat="1">
      <c r="A342" s="110"/>
      <c r="B342" s="113"/>
      <c r="C342" s="249"/>
      <c r="D342" s="114"/>
      <c r="E342" s="114"/>
      <c r="F342" s="262"/>
      <c r="G342" s="261"/>
    </row>
    <row r="343" spans="1:7" s="81" customFormat="1">
      <c r="A343" s="110"/>
      <c r="B343" s="113"/>
      <c r="C343" s="249"/>
      <c r="D343" s="114"/>
      <c r="E343" s="114"/>
      <c r="F343" s="262"/>
      <c r="G343" s="261"/>
    </row>
    <row r="344" spans="1:7" s="81" customFormat="1">
      <c r="A344" s="110"/>
      <c r="B344" s="113"/>
      <c r="C344" s="249"/>
      <c r="D344" s="114"/>
      <c r="E344" s="114"/>
      <c r="F344" s="262"/>
      <c r="G344" s="261"/>
    </row>
    <row r="345" spans="1:7" s="81" customFormat="1">
      <c r="A345" s="110"/>
      <c r="B345" s="113"/>
      <c r="C345" s="249"/>
      <c r="D345" s="114"/>
      <c r="E345" s="114"/>
      <c r="F345" s="262"/>
      <c r="G345" s="261"/>
    </row>
    <row r="346" spans="1:7" s="81" customFormat="1">
      <c r="A346" s="110"/>
      <c r="B346" s="113"/>
      <c r="C346" s="249"/>
      <c r="D346" s="114"/>
      <c r="E346" s="114"/>
      <c r="F346" s="262"/>
      <c r="G346" s="261"/>
    </row>
    <row r="347" spans="1:7" s="81" customFormat="1">
      <c r="A347" s="110"/>
      <c r="B347" s="113"/>
      <c r="C347" s="249"/>
      <c r="D347" s="114"/>
      <c r="E347" s="114"/>
      <c r="F347" s="262"/>
      <c r="G347" s="261"/>
    </row>
    <row r="348" spans="1:7" s="81" customFormat="1">
      <c r="A348" s="110"/>
      <c r="B348" s="113"/>
      <c r="C348" s="249"/>
      <c r="D348" s="114"/>
      <c r="E348" s="114"/>
      <c r="F348" s="262"/>
      <c r="G348" s="261"/>
    </row>
    <row r="349" spans="1:7" s="81" customFormat="1">
      <c r="A349" s="110"/>
      <c r="B349" s="113"/>
      <c r="C349" s="249"/>
      <c r="D349" s="114"/>
      <c r="E349" s="114"/>
      <c r="F349" s="262"/>
      <c r="G349" s="261"/>
    </row>
    <row r="350" spans="1:7" s="81" customFormat="1">
      <c r="A350" s="110"/>
      <c r="B350" s="113"/>
      <c r="C350" s="249"/>
      <c r="D350" s="114"/>
      <c r="E350" s="114"/>
      <c r="F350" s="262"/>
      <c r="G350" s="261"/>
    </row>
    <row r="351" spans="1:7" s="81" customFormat="1">
      <c r="A351" s="110"/>
      <c r="B351" s="113"/>
      <c r="C351" s="249"/>
      <c r="D351" s="114"/>
      <c r="E351" s="114"/>
      <c r="F351" s="262"/>
      <c r="G351" s="261"/>
    </row>
    <row r="352" spans="1:7" s="81" customFormat="1">
      <c r="A352" s="110"/>
      <c r="B352" s="113"/>
      <c r="C352" s="249"/>
      <c r="D352" s="114"/>
      <c r="E352" s="114"/>
      <c r="F352" s="262"/>
      <c r="G352" s="261"/>
    </row>
    <row r="353" spans="1:7" s="81" customFormat="1">
      <c r="A353" s="110"/>
      <c r="B353" s="113"/>
      <c r="C353" s="249"/>
      <c r="D353" s="114"/>
      <c r="E353" s="114"/>
      <c r="F353" s="262"/>
      <c r="G353" s="261"/>
    </row>
    <row r="354" spans="1:7" s="81" customFormat="1">
      <c r="A354" s="110"/>
      <c r="B354" s="113"/>
      <c r="C354" s="249"/>
      <c r="D354" s="114"/>
      <c r="E354" s="114"/>
      <c r="F354" s="262"/>
      <c r="G354" s="261"/>
    </row>
    <row r="355" spans="1:7" s="81" customFormat="1">
      <c r="A355" s="110"/>
      <c r="B355" s="113"/>
      <c r="C355" s="249"/>
      <c r="D355" s="114"/>
      <c r="E355" s="114"/>
      <c r="F355" s="262"/>
      <c r="G355" s="261"/>
    </row>
    <row r="356" spans="1:7" s="81" customFormat="1">
      <c r="A356" s="110"/>
      <c r="B356" s="112"/>
      <c r="C356" s="249"/>
      <c r="D356" s="114"/>
      <c r="E356" s="114"/>
      <c r="F356" s="262"/>
      <c r="G356" s="261"/>
    </row>
    <row r="357" spans="1:7" s="81" customFormat="1">
      <c r="A357" s="110"/>
      <c r="B357" s="112"/>
      <c r="C357" s="249"/>
      <c r="D357" s="114"/>
      <c r="E357" s="114"/>
      <c r="F357" s="262"/>
      <c r="G357" s="261"/>
    </row>
    <row r="358" spans="1:7" s="81" customFormat="1">
      <c r="A358" s="110"/>
      <c r="B358" s="112"/>
      <c r="C358" s="249"/>
      <c r="D358" s="114"/>
      <c r="E358" s="114"/>
      <c r="F358" s="114"/>
      <c r="G358" s="261"/>
    </row>
    <row r="359" spans="1:7" s="81" customFormat="1">
      <c r="A359" s="110"/>
      <c r="B359" s="112"/>
      <c r="C359" s="249"/>
      <c r="D359" s="114"/>
      <c r="E359" s="114"/>
      <c r="F359" s="114"/>
      <c r="G359" s="261"/>
    </row>
    <row r="360" spans="1:7" s="81" customFormat="1">
      <c r="A360" s="119"/>
      <c r="B360" s="500" t="s">
        <v>434</v>
      </c>
      <c r="C360" s="500"/>
      <c r="D360" s="266"/>
      <c r="E360" s="328"/>
      <c r="F360" s="328"/>
      <c r="G360" s="328"/>
    </row>
    <row r="361" spans="1:7" s="81" customFormat="1">
      <c r="A361" s="341"/>
      <c r="B361" s="497" t="s">
        <v>49</v>
      </c>
      <c r="C361" s="497"/>
      <c r="D361" s="342"/>
      <c r="E361" s="371"/>
      <c r="F361" s="371"/>
      <c r="G361" s="371"/>
    </row>
    <row r="362" spans="1:7" s="81" customFormat="1">
      <c r="A362" s="372"/>
      <c r="B362" s="400" t="s">
        <v>131</v>
      </c>
      <c r="C362" s="395"/>
      <c r="D362" s="254"/>
      <c r="E362" s="254"/>
      <c r="F362" s="254"/>
      <c r="G362" s="324"/>
    </row>
    <row r="363" spans="1:7" s="81" customFormat="1">
      <c r="A363" s="374"/>
      <c r="B363" s="106" t="s">
        <v>436</v>
      </c>
      <c r="C363" s="259"/>
      <c r="D363" s="327"/>
      <c r="E363" s="327"/>
      <c r="F363" s="327"/>
      <c r="G363" s="256"/>
    </row>
    <row r="364" spans="1:7" s="81" customFormat="1">
      <c r="A364" s="108"/>
      <c r="B364" s="107"/>
      <c r="C364" s="249"/>
      <c r="D364" s="331"/>
      <c r="E364" s="331"/>
      <c r="F364" s="331"/>
      <c r="G364" s="261"/>
    </row>
    <row r="365" spans="1:7" s="8" customFormat="1" ht="13.5">
      <c r="A365" s="401">
        <v>6.1</v>
      </c>
      <c r="B365" s="402" t="s">
        <v>346</v>
      </c>
      <c r="C365" s="403"/>
      <c r="D365" s="403"/>
      <c r="E365" s="403"/>
      <c r="F365" s="403"/>
      <c r="G365" s="404"/>
    </row>
    <row r="366" spans="1:7" s="8" customFormat="1" ht="77.25">
      <c r="A366" s="405"/>
      <c r="B366" s="406" t="s">
        <v>347</v>
      </c>
      <c r="C366" s="403"/>
      <c r="D366" s="403"/>
      <c r="E366" s="403"/>
      <c r="F366" s="403"/>
      <c r="G366" s="404"/>
    </row>
    <row r="367" spans="1:7" s="8" customFormat="1" ht="13.5">
      <c r="A367" s="405"/>
      <c r="B367" s="407"/>
      <c r="C367" s="403"/>
      <c r="D367" s="403"/>
      <c r="E367" s="403"/>
      <c r="F367" s="403"/>
      <c r="G367" s="404"/>
    </row>
    <row r="368" spans="1:7" s="229" customFormat="1" outlineLevel="1">
      <c r="A368" s="408">
        <v>6.2</v>
      </c>
      <c r="B368" s="409" t="s">
        <v>430</v>
      </c>
      <c r="C368" s="410"/>
      <c r="D368" s="411"/>
      <c r="E368" s="412"/>
      <c r="F368" s="412"/>
      <c r="G368" s="412"/>
    </row>
    <row r="369" spans="1:14" s="229" customFormat="1" outlineLevel="1">
      <c r="A369" s="413">
        <v>1</v>
      </c>
      <c r="B369" s="414" t="s">
        <v>431</v>
      </c>
      <c r="C369" s="415">
        <f>(102+102+7+26)*1.5</f>
        <v>355.5</v>
      </c>
      <c r="D369" s="404" t="s">
        <v>33</v>
      </c>
      <c r="E369" s="412"/>
      <c r="F369" s="412"/>
      <c r="G369" s="412"/>
      <c r="I369" s="272"/>
    </row>
    <row r="370" spans="1:14" s="229" customFormat="1" outlineLevel="1">
      <c r="A370" s="413"/>
      <c r="B370" s="414"/>
      <c r="C370" s="410"/>
      <c r="D370" s="404"/>
      <c r="E370" s="412"/>
      <c r="F370" s="412"/>
      <c r="G370" s="412"/>
      <c r="I370" s="272"/>
    </row>
    <row r="371" spans="1:14" s="229" customFormat="1" outlineLevel="1">
      <c r="A371" s="413"/>
      <c r="B371" s="414"/>
      <c r="C371" s="410"/>
      <c r="D371" s="404"/>
      <c r="E371" s="412"/>
      <c r="F371" s="412"/>
      <c r="G371" s="412"/>
      <c r="I371" s="272"/>
    </row>
    <row r="372" spans="1:14" s="229" customFormat="1" outlineLevel="1">
      <c r="A372" s="413"/>
      <c r="B372" s="414"/>
      <c r="C372" s="410"/>
      <c r="D372" s="404"/>
      <c r="E372" s="412"/>
      <c r="F372" s="412"/>
      <c r="G372" s="412"/>
      <c r="I372" s="272"/>
    </row>
    <row r="373" spans="1:14" s="229" customFormat="1" outlineLevel="1">
      <c r="A373" s="413"/>
      <c r="B373" s="414"/>
      <c r="C373" s="410"/>
      <c r="D373" s="404"/>
      <c r="E373" s="412"/>
      <c r="F373" s="412"/>
      <c r="G373" s="412"/>
      <c r="I373" s="272"/>
    </row>
    <row r="374" spans="1:14" s="230" customFormat="1" outlineLevel="1">
      <c r="A374" s="408">
        <v>6.3</v>
      </c>
      <c r="B374" s="409" t="s">
        <v>346</v>
      </c>
      <c r="C374" s="415"/>
      <c r="D374" s="411"/>
      <c r="E374" s="412"/>
      <c r="F374" s="412"/>
      <c r="G374" s="412"/>
      <c r="I374" s="272"/>
    </row>
    <row r="375" spans="1:14" s="230" customFormat="1" ht="63.75" outlineLevel="1">
      <c r="A375" s="416"/>
      <c r="B375" s="406" t="s">
        <v>348</v>
      </c>
      <c r="C375" s="415"/>
      <c r="D375" s="411"/>
      <c r="E375" s="412"/>
      <c r="F375" s="412"/>
      <c r="G375" s="412"/>
      <c r="I375" s="272"/>
      <c r="M375" s="230">
        <v>8.67</v>
      </c>
      <c r="N375" s="230">
        <f>M375*L375</f>
        <v>0</v>
      </c>
    </row>
    <row r="376" spans="1:14" s="230" customFormat="1" outlineLevel="1">
      <c r="A376" s="408" t="s">
        <v>349</v>
      </c>
      <c r="B376" s="409" t="s">
        <v>432</v>
      </c>
      <c r="C376" s="415"/>
      <c r="D376" s="411"/>
      <c r="E376" s="412"/>
      <c r="F376" s="412"/>
      <c r="G376" s="412"/>
      <c r="I376" s="272"/>
      <c r="N376" s="230">
        <f>4.8*3</f>
        <v>14.399999999999999</v>
      </c>
    </row>
    <row r="377" spans="1:14" s="230" customFormat="1" outlineLevel="1">
      <c r="A377" s="417">
        <v>1</v>
      </c>
      <c r="B377" s="418" t="s">
        <v>433</v>
      </c>
      <c r="C377" s="415">
        <f>18+6</f>
        <v>24</v>
      </c>
      <c r="D377" s="419" t="s">
        <v>166</v>
      </c>
      <c r="E377" s="412"/>
      <c r="F377" s="412"/>
      <c r="G377" s="412"/>
      <c r="I377" s="272"/>
    </row>
    <row r="378" spans="1:14" s="230" customFormat="1" outlineLevel="1">
      <c r="A378" s="420"/>
      <c r="B378" s="414"/>
      <c r="C378" s="421"/>
      <c r="D378" s="411"/>
      <c r="E378" s="412"/>
      <c r="F378" s="412"/>
      <c r="G378" s="412"/>
      <c r="I378" s="272"/>
    </row>
    <row r="379" spans="1:14" s="230" customFormat="1" outlineLevel="1">
      <c r="A379" s="408" t="s">
        <v>439</v>
      </c>
      <c r="B379" s="409" t="s">
        <v>438</v>
      </c>
      <c r="C379" s="415"/>
      <c r="D379" s="411"/>
      <c r="E379" s="412"/>
      <c r="F379" s="412"/>
      <c r="G379" s="412"/>
      <c r="I379" s="272"/>
    </row>
    <row r="380" spans="1:14" s="81" customFormat="1">
      <c r="A380" s="110">
        <v>1</v>
      </c>
      <c r="B380" s="118" t="s">
        <v>440</v>
      </c>
      <c r="C380" s="249">
        <f>cal!F396+(cal!F397/2)</f>
        <v>330.12810000000002</v>
      </c>
      <c r="D380" s="264" t="s">
        <v>39</v>
      </c>
      <c r="E380" s="114"/>
      <c r="F380" s="114"/>
      <c r="G380" s="261"/>
    </row>
    <row r="381" spans="1:14" s="81" customFormat="1">
      <c r="A381" s="110">
        <v>2</v>
      </c>
      <c r="B381" s="118" t="s">
        <v>441</v>
      </c>
      <c r="C381" s="249">
        <f>cal!F397/2</f>
        <v>79.600799999999992</v>
      </c>
      <c r="D381" s="114" t="s">
        <v>39</v>
      </c>
      <c r="E381" s="114"/>
      <c r="F381" s="114"/>
      <c r="G381" s="261"/>
    </row>
    <row r="382" spans="1:14" s="230" customFormat="1" outlineLevel="1">
      <c r="A382" s="416"/>
      <c r="B382" s="414"/>
      <c r="C382" s="415"/>
      <c r="D382" s="411"/>
      <c r="E382" s="412"/>
      <c r="F382" s="412"/>
      <c r="G382" s="412"/>
      <c r="I382" s="272"/>
    </row>
    <row r="383" spans="1:14" s="230" customFormat="1" outlineLevel="1">
      <c r="A383" s="408"/>
      <c r="B383" s="409"/>
      <c r="C383" s="415"/>
      <c r="D383" s="411"/>
      <c r="E383" s="412"/>
      <c r="F383" s="412"/>
      <c r="G383" s="412"/>
      <c r="I383" s="272"/>
    </row>
    <row r="384" spans="1:14" s="230" customFormat="1" outlineLevel="1">
      <c r="A384" s="416"/>
      <c r="B384" s="406"/>
      <c r="C384" s="415"/>
      <c r="D384" s="411"/>
      <c r="E384" s="412"/>
      <c r="F384" s="412"/>
      <c r="G384" s="412"/>
      <c r="I384" s="272"/>
    </row>
    <row r="385" spans="1:9" s="230" customFormat="1" outlineLevel="1">
      <c r="A385" s="416"/>
      <c r="B385" s="422"/>
      <c r="C385" s="415"/>
      <c r="D385" s="411"/>
      <c r="E385" s="412"/>
      <c r="F385" s="412"/>
      <c r="G385" s="412"/>
      <c r="I385" s="272"/>
    </row>
    <row r="386" spans="1:9" s="230" customFormat="1" outlineLevel="1">
      <c r="A386" s="416"/>
      <c r="B386" s="414"/>
      <c r="C386" s="415"/>
      <c r="D386" s="411"/>
      <c r="E386" s="412"/>
      <c r="F386" s="412"/>
      <c r="G386" s="412"/>
      <c r="I386" s="272"/>
    </row>
    <row r="387" spans="1:9" s="230" customFormat="1" outlineLevel="1">
      <c r="A387" s="408"/>
      <c r="B387" s="409"/>
      <c r="C387" s="415"/>
      <c r="D387" s="411"/>
      <c r="E387" s="412"/>
      <c r="F387" s="412"/>
      <c r="G387" s="412"/>
      <c r="I387" s="272"/>
    </row>
    <row r="388" spans="1:9" s="230" customFormat="1" outlineLevel="1">
      <c r="A388" s="416"/>
      <c r="B388" s="406"/>
      <c r="C388" s="410"/>
      <c r="D388" s="423"/>
      <c r="E388" s="424"/>
      <c r="F388" s="424"/>
      <c r="G388" s="424"/>
      <c r="I388" s="272"/>
    </row>
    <row r="389" spans="1:9" s="230" customFormat="1" outlineLevel="1">
      <c r="A389" s="416"/>
      <c r="B389" s="414"/>
      <c r="C389" s="410"/>
      <c r="D389" s="423"/>
      <c r="E389" s="424"/>
      <c r="F389" s="424"/>
      <c r="G389" s="424"/>
      <c r="I389" s="272"/>
    </row>
    <row r="390" spans="1:9" s="230" customFormat="1" outlineLevel="1">
      <c r="A390" s="425"/>
      <c r="B390" s="426"/>
      <c r="C390" s="415"/>
      <c r="D390" s="411"/>
      <c r="E390" s="412"/>
      <c r="F390" s="412"/>
      <c r="G390" s="412"/>
      <c r="I390" s="272"/>
    </row>
    <row r="391" spans="1:9" s="230" customFormat="1" outlineLevel="1">
      <c r="A391" s="427"/>
      <c r="B391" s="428"/>
      <c r="C391" s="415"/>
      <c r="D391" s="419"/>
      <c r="E391" s="412"/>
      <c r="F391" s="412"/>
      <c r="G391" s="412"/>
      <c r="I391" s="272"/>
    </row>
    <row r="392" spans="1:9" s="230" customFormat="1" outlineLevel="1">
      <c r="A392" s="413"/>
      <c r="B392" s="414"/>
      <c r="C392" s="415"/>
      <c r="D392" s="411"/>
      <c r="E392" s="423"/>
      <c r="F392" s="412"/>
      <c r="G392" s="412"/>
    </row>
    <row r="393" spans="1:9" s="229" customFormat="1" outlineLevel="1">
      <c r="A393" s="408"/>
      <c r="B393" s="409"/>
      <c r="C393" s="410"/>
      <c r="D393" s="411"/>
      <c r="E393" s="412"/>
      <c r="F393" s="412"/>
      <c r="G393" s="412"/>
    </row>
    <row r="394" spans="1:9" s="81" customFormat="1">
      <c r="A394" s="365"/>
      <c r="B394" s="429"/>
      <c r="C394" s="367"/>
      <c r="D394" s="368"/>
      <c r="E394" s="368"/>
      <c r="F394" s="368"/>
      <c r="G394" s="339"/>
    </row>
    <row r="395" spans="1:9" s="81" customFormat="1">
      <c r="A395" s="119"/>
      <c r="B395" s="498" t="s">
        <v>437</v>
      </c>
      <c r="C395" s="498"/>
      <c r="D395" s="266"/>
      <c r="E395" s="328"/>
      <c r="F395" s="328"/>
      <c r="G395" s="328"/>
    </row>
    <row r="396" spans="1:9" s="70" customFormat="1">
      <c r="A396" s="341"/>
      <c r="B396" s="499" t="s">
        <v>54</v>
      </c>
      <c r="C396" s="499"/>
      <c r="D396" s="342"/>
      <c r="E396" s="371"/>
      <c r="F396" s="371"/>
      <c r="G396" s="371"/>
    </row>
    <row r="397" spans="1:9" s="81" customFormat="1">
      <c r="A397" s="372"/>
      <c r="B397" s="400" t="s">
        <v>350</v>
      </c>
      <c r="C397" s="395"/>
      <c r="D397" s="254"/>
      <c r="E397" s="254"/>
      <c r="F397" s="254"/>
      <c r="G397" s="324"/>
    </row>
    <row r="398" spans="1:9" s="81" customFormat="1">
      <c r="A398" s="374"/>
      <c r="B398" s="106" t="s">
        <v>92</v>
      </c>
      <c r="C398" s="259"/>
      <c r="D398" s="327"/>
      <c r="E398" s="327"/>
      <c r="F398" s="327"/>
      <c r="G398" s="256"/>
    </row>
    <row r="399" spans="1:9" s="81" customFormat="1">
      <c r="A399" s="108"/>
      <c r="B399" s="107"/>
      <c r="C399" s="249"/>
      <c r="D399" s="331"/>
      <c r="E399" s="331"/>
      <c r="F399" s="331"/>
      <c r="G399" s="261"/>
    </row>
    <row r="400" spans="1:9" s="81" customFormat="1">
      <c r="A400" s="108">
        <v>7.1</v>
      </c>
      <c r="B400" s="122" t="s">
        <v>25</v>
      </c>
      <c r="C400" s="249"/>
      <c r="D400" s="331"/>
      <c r="E400" s="331"/>
      <c r="F400" s="331"/>
      <c r="G400" s="261"/>
    </row>
    <row r="401" spans="1:7" s="81" customFormat="1" ht="51">
      <c r="A401" s="108"/>
      <c r="B401" s="333" t="s">
        <v>99</v>
      </c>
      <c r="C401" s="249"/>
      <c r="D401" s="331"/>
      <c r="E401" s="331"/>
      <c r="F401" s="331"/>
      <c r="G401" s="261"/>
    </row>
    <row r="402" spans="1:7" s="81" customFormat="1" ht="38.25">
      <c r="A402" s="108"/>
      <c r="B402" s="333" t="s">
        <v>161</v>
      </c>
      <c r="C402" s="249"/>
      <c r="D402" s="331"/>
      <c r="E402" s="331"/>
      <c r="F402" s="331"/>
      <c r="G402" s="261"/>
    </row>
    <row r="403" spans="1:7" s="81" customFormat="1" ht="76.5">
      <c r="A403" s="108"/>
      <c r="B403" s="333" t="s">
        <v>162</v>
      </c>
      <c r="C403" s="265"/>
      <c r="D403" s="263"/>
      <c r="E403" s="263"/>
      <c r="F403" s="263"/>
      <c r="G403" s="261"/>
    </row>
    <row r="404" spans="1:7" s="81" customFormat="1">
      <c r="A404" s="110"/>
      <c r="B404" s="333"/>
      <c r="C404" s="249"/>
      <c r="D404" s="114"/>
      <c r="E404" s="114"/>
      <c r="F404" s="114"/>
      <c r="G404" s="261"/>
    </row>
    <row r="405" spans="1:7" s="81" customFormat="1">
      <c r="A405" s="108">
        <v>7.2</v>
      </c>
      <c r="B405" s="430" t="s">
        <v>343</v>
      </c>
      <c r="C405" s="249"/>
      <c r="D405" s="114"/>
      <c r="E405" s="114"/>
      <c r="F405" s="114"/>
      <c r="G405" s="261"/>
    </row>
    <row r="406" spans="1:7" s="81" customFormat="1" ht="36">
      <c r="A406" s="110"/>
      <c r="B406" s="431" t="s">
        <v>344</v>
      </c>
      <c r="C406" s="249"/>
      <c r="D406" s="114"/>
      <c r="E406" s="114"/>
      <c r="F406" s="114"/>
      <c r="G406" s="261"/>
    </row>
    <row r="407" spans="1:7" s="81" customFormat="1" ht="48">
      <c r="A407" s="110"/>
      <c r="B407" s="432" t="s">
        <v>261</v>
      </c>
      <c r="C407" s="249"/>
      <c r="D407" s="114"/>
      <c r="E407" s="114"/>
      <c r="F407" s="114"/>
      <c r="G407" s="261"/>
    </row>
    <row r="408" spans="1:7" s="81" customFormat="1" ht="36">
      <c r="A408" s="110"/>
      <c r="B408" s="433" t="s">
        <v>262</v>
      </c>
      <c r="C408" s="249"/>
      <c r="D408" s="114"/>
      <c r="E408" s="114"/>
      <c r="F408" s="114"/>
      <c r="G408" s="261"/>
    </row>
    <row r="409" spans="1:7" s="81" customFormat="1">
      <c r="A409" s="108">
        <v>7.3</v>
      </c>
      <c r="B409" s="430" t="s">
        <v>345</v>
      </c>
      <c r="C409" s="249"/>
      <c r="D409" s="114"/>
      <c r="E409" s="114"/>
      <c r="F409" s="114"/>
      <c r="G409" s="261"/>
    </row>
    <row r="410" spans="1:7" s="81" customFormat="1">
      <c r="A410" s="110">
        <v>1</v>
      </c>
      <c r="B410" s="111" t="s">
        <v>40</v>
      </c>
      <c r="C410" s="249">
        <v>333.26</v>
      </c>
      <c r="D410" s="264" t="s">
        <v>39</v>
      </c>
      <c r="E410" s="114"/>
      <c r="F410" s="114"/>
      <c r="G410" s="261"/>
    </row>
    <row r="411" spans="1:7" s="81" customFormat="1">
      <c r="A411" s="110">
        <v>2</v>
      </c>
      <c r="B411" s="111" t="s">
        <v>206</v>
      </c>
      <c r="C411" s="249">
        <v>333.26</v>
      </c>
      <c r="D411" s="114" t="s">
        <v>39</v>
      </c>
      <c r="E411" s="114"/>
      <c r="F411" s="114"/>
      <c r="G411" s="261"/>
    </row>
    <row r="412" spans="1:7" s="81" customFormat="1">
      <c r="A412" s="110">
        <v>3</v>
      </c>
      <c r="B412" s="111" t="s">
        <v>207</v>
      </c>
      <c r="C412" s="249">
        <v>333.26</v>
      </c>
      <c r="D412" s="114" t="s">
        <v>39</v>
      </c>
      <c r="E412" s="114"/>
      <c r="F412" s="114"/>
      <c r="G412" s="261"/>
    </row>
    <row r="413" spans="1:7" s="81" customFormat="1" ht="13.5" customHeight="1">
      <c r="A413" s="110">
        <v>4</v>
      </c>
      <c r="B413" s="118" t="s">
        <v>411</v>
      </c>
      <c r="C413" s="249">
        <f>cal!B333</f>
        <v>106.035</v>
      </c>
      <c r="D413" s="114" t="s">
        <v>39</v>
      </c>
      <c r="E413" s="114"/>
      <c r="F413" s="114"/>
      <c r="G413" s="261"/>
    </row>
    <row r="414" spans="1:7" s="81" customFormat="1">
      <c r="A414" s="110"/>
      <c r="B414" s="118"/>
      <c r="C414" s="249"/>
      <c r="D414" s="264"/>
      <c r="E414" s="114"/>
      <c r="F414" s="114"/>
      <c r="G414" s="261"/>
    </row>
    <row r="415" spans="1:7" s="81" customFormat="1">
      <c r="A415" s="110"/>
      <c r="B415" s="118"/>
      <c r="C415" s="249"/>
      <c r="D415" s="114"/>
      <c r="E415" s="114"/>
      <c r="F415" s="114"/>
      <c r="G415" s="261"/>
    </row>
    <row r="416" spans="1:7" s="81" customFormat="1">
      <c r="A416" s="108"/>
      <c r="B416" s="430"/>
      <c r="C416" s="249"/>
      <c r="D416" s="114"/>
      <c r="E416" s="114"/>
      <c r="F416" s="114"/>
      <c r="G416" s="261"/>
    </row>
    <row r="417" spans="1:7" s="81" customFormat="1">
      <c r="A417" s="110"/>
      <c r="B417" s="111"/>
      <c r="C417" s="249"/>
      <c r="D417" s="264"/>
      <c r="E417" s="114"/>
      <c r="F417" s="114"/>
      <c r="G417" s="261"/>
    </row>
    <row r="418" spans="1:7" s="81" customFormat="1">
      <c r="A418" s="110"/>
      <c r="B418" s="111"/>
      <c r="C418" s="249"/>
      <c r="D418" s="114"/>
      <c r="E418" s="114"/>
      <c r="F418" s="262"/>
      <c r="G418" s="261"/>
    </row>
    <row r="419" spans="1:7" s="81" customFormat="1">
      <c r="A419" s="110"/>
      <c r="B419" s="111"/>
      <c r="C419" s="249"/>
      <c r="D419" s="114"/>
      <c r="E419" s="114"/>
      <c r="F419" s="262"/>
      <c r="G419" s="261"/>
    </row>
    <row r="420" spans="1:7" s="81" customFormat="1">
      <c r="A420" s="110"/>
      <c r="B420" s="111"/>
      <c r="C420" s="249"/>
      <c r="D420" s="114"/>
      <c r="E420" s="114"/>
      <c r="F420" s="262"/>
      <c r="G420" s="261"/>
    </row>
    <row r="421" spans="1:7" s="81" customFormat="1">
      <c r="A421" s="110"/>
      <c r="B421" s="111"/>
      <c r="C421" s="249"/>
      <c r="D421" s="114"/>
      <c r="E421" s="114"/>
      <c r="F421" s="262"/>
      <c r="G421" s="261"/>
    </row>
    <row r="422" spans="1:7" s="81" customFormat="1">
      <c r="A422" s="110"/>
      <c r="B422" s="111"/>
      <c r="C422" s="249"/>
      <c r="D422" s="114"/>
      <c r="E422" s="114"/>
      <c r="F422" s="262"/>
      <c r="G422" s="261"/>
    </row>
    <row r="423" spans="1:7" s="81" customFormat="1">
      <c r="A423" s="110"/>
      <c r="B423" s="111"/>
      <c r="C423" s="249"/>
      <c r="D423" s="114"/>
      <c r="E423" s="114"/>
      <c r="F423" s="262"/>
      <c r="G423" s="261"/>
    </row>
    <row r="424" spans="1:7" s="81" customFormat="1">
      <c r="A424" s="110"/>
      <c r="B424" s="111"/>
      <c r="C424" s="249"/>
      <c r="D424" s="114"/>
      <c r="E424" s="114"/>
      <c r="F424" s="262"/>
      <c r="G424" s="261"/>
    </row>
    <row r="425" spans="1:7" s="81" customFormat="1">
      <c r="A425" s="110"/>
      <c r="B425" s="111"/>
      <c r="C425" s="249"/>
      <c r="D425" s="114"/>
      <c r="E425" s="114"/>
      <c r="F425" s="262"/>
      <c r="G425" s="261"/>
    </row>
    <row r="426" spans="1:7" s="81" customFormat="1">
      <c r="A426" s="110"/>
      <c r="B426" s="111"/>
      <c r="C426" s="249"/>
      <c r="D426" s="114"/>
      <c r="E426" s="114"/>
      <c r="F426" s="262"/>
      <c r="G426" s="261"/>
    </row>
    <row r="427" spans="1:7" s="81" customFormat="1">
      <c r="A427" s="110"/>
      <c r="B427" s="111"/>
      <c r="C427" s="249"/>
      <c r="D427" s="114"/>
      <c r="E427" s="114"/>
      <c r="F427" s="262"/>
      <c r="G427" s="261"/>
    </row>
    <row r="428" spans="1:7" s="81" customFormat="1">
      <c r="A428" s="110"/>
      <c r="B428" s="111"/>
      <c r="C428" s="249"/>
      <c r="D428" s="114"/>
      <c r="E428" s="114"/>
      <c r="F428" s="262"/>
      <c r="G428" s="261"/>
    </row>
    <row r="429" spans="1:7" s="81" customFormat="1">
      <c r="A429" s="110"/>
      <c r="B429" s="111"/>
      <c r="C429" s="249"/>
      <c r="D429" s="114"/>
      <c r="E429" s="114"/>
      <c r="F429" s="262"/>
      <c r="G429" s="261"/>
    </row>
    <row r="430" spans="1:7" s="81" customFormat="1">
      <c r="A430" s="110"/>
      <c r="B430" s="111"/>
      <c r="C430" s="249"/>
      <c r="D430" s="114"/>
      <c r="E430" s="114"/>
      <c r="F430" s="262"/>
      <c r="G430" s="261"/>
    </row>
    <row r="431" spans="1:7" s="81" customFormat="1">
      <c r="A431" s="110"/>
      <c r="B431" s="111"/>
      <c r="C431" s="249"/>
      <c r="D431" s="114"/>
      <c r="E431" s="114"/>
      <c r="F431" s="262"/>
      <c r="G431" s="261"/>
    </row>
    <row r="432" spans="1:7" s="81" customFormat="1">
      <c r="A432" s="365"/>
      <c r="B432" s="429"/>
      <c r="C432" s="367"/>
      <c r="D432" s="368"/>
      <c r="E432" s="368"/>
      <c r="F432" s="368"/>
      <c r="G432" s="339"/>
    </row>
    <row r="433" spans="1:7" s="81" customFormat="1">
      <c r="A433" s="119"/>
      <c r="B433" s="369" t="s">
        <v>351</v>
      </c>
      <c r="C433" s="370"/>
      <c r="D433" s="266"/>
      <c r="E433" s="328"/>
      <c r="F433" s="328"/>
      <c r="G433" s="328"/>
    </row>
    <row r="434" spans="1:7" s="70" customFormat="1">
      <c r="A434" s="341"/>
      <c r="B434" s="499" t="s">
        <v>528</v>
      </c>
      <c r="C434" s="499"/>
      <c r="D434" s="342"/>
      <c r="E434" s="371"/>
      <c r="F434" s="371"/>
      <c r="G434" s="371"/>
    </row>
    <row r="435" spans="1:7" s="81" customFormat="1">
      <c r="A435" s="434"/>
      <c r="B435" s="322" t="s">
        <v>132</v>
      </c>
      <c r="C435" s="435"/>
      <c r="D435" s="436"/>
      <c r="E435" s="436"/>
      <c r="F435" s="436"/>
      <c r="G435" s="437"/>
    </row>
    <row r="436" spans="1:7" s="81" customFormat="1">
      <c r="A436" s="438"/>
      <c r="B436" s="106" t="s">
        <v>5</v>
      </c>
      <c r="C436" s="439"/>
      <c r="D436" s="440"/>
      <c r="E436" s="440"/>
      <c r="F436" s="440"/>
      <c r="G436" s="349"/>
    </row>
    <row r="437" spans="1:7" s="81" customFormat="1" ht="8.25" customHeight="1">
      <c r="A437" s="248"/>
      <c r="B437" s="107"/>
      <c r="C437" s="273"/>
      <c r="D437" s="441"/>
      <c r="E437" s="441"/>
      <c r="F437" s="441"/>
      <c r="G437" s="262"/>
    </row>
    <row r="438" spans="1:7" s="81" customFormat="1">
      <c r="A438" s="108">
        <v>8.1</v>
      </c>
      <c r="B438" s="122" t="s">
        <v>25</v>
      </c>
      <c r="C438" s="273"/>
      <c r="D438" s="441"/>
      <c r="E438" s="441"/>
      <c r="F438" s="441"/>
      <c r="G438" s="262"/>
    </row>
    <row r="439" spans="1:7" s="81" customFormat="1" ht="63.75">
      <c r="A439" s="248"/>
      <c r="B439" s="118" t="s">
        <v>141</v>
      </c>
      <c r="C439" s="273"/>
      <c r="D439" s="441"/>
      <c r="E439" s="441"/>
      <c r="F439" s="441"/>
      <c r="G439" s="262"/>
    </row>
    <row r="440" spans="1:7" s="81" customFormat="1" ht="51">
      <c r="A440" s="248"/>
      <c r="B440" s="118" t="s">
        <v>50</v>
      </c>
      <c r="C440" s="273"/>
      <c r="D440" s="441"/>
      <c r="E440" s="441"/>
      <c r="F440" s="441"/>
      <c r="G440" s="262"/>
    </row>
    <row r="441" spans="1:7" s="81" customFormat="1" ht="25.5">
      <c r="A441" s="248"/>
      <c r="B441" s="442" t="s">
        <v>94</v>
      </c>
      <c r="C441" s="273"/>
      <c r="D441" s="441"/>
      <c r="E441" s="441"/>
      <c r="F441" s="441"/>
      <c r="G441" s="262"/>
    </row>
    <row r="442" spans="1:7" s="81" customFormat="1" ht="6.75" customHeight="1">
      <c r="A442" s="248"/>
      <c r="B442" s="442"/>
      <c r="C442" s="273"/>
      <c r="D442" s="441"/>
      <c r="E442" s="441"/>
      <c r="F442" s="441"/>
      <c r="G442" s="262"/>
    </row>
    <row r="443" spans="1:7" s="125" customFormat="1">
      <c r="A443" s="443">
        <v>8.1999999999999993</v>
      </c>
      <c r="B443" s="122" t="s">
        <v>490</v>
      </c>
      <c r="C443" s="273"/>
      <c r="D443" s="264"/>
      <c r="E443" s="264"/>
      <c r="F443" s="264"/>
      <c r="G443" s="262"/>
    </row>
    <row r="444" spans="1:7" s="125" customFormat="1">
      <c r="A444" s="444">
        <v>1</v>
      </c>
      <c r="B444" s="422" t="str">
        <f>cal!A424</f>
        <v>Door - G1</v>
      </c>
      <c r="C444" s="273">
        <f>cal!Q424</f>
        <v>1</v>
      </c>
      <c r="D444" s="264" t="s">
        <v>16</v>
      </c>
      <c r="E444" s="264"/>
      <c r="F444" s="264"/>
      <c r="G444" s="262"/>
    </row>
    <row r="445" spans="1:7" s="125" customFormat="1">
      <c r="A445" s="444">
        <v>2</v>
      </c>
      <c r="B445" s="422" t="str">
        <f>cal!A425</f>
        <v>Door - G2</v>
      </c>
      <c r="C445" s="273">
        <f>cal!Q425</f>
        <v>1</v>
      </c>
      <c r="D445" s="264" t="s">
        <v>16</v>
      </c>
      <c r="E445" s="264"/>
      <c r="F445" s="264"/>
      <c r="G445" s="262"/>
    </row>
    <row r="446" spans="1:7" s="125" customFormat="1">
      <c r="A446" s="444">
        <v>3</v>
      </c>
      <c r="B446" s="422" t="str">
        <f>cal!A426</f>
        <v>Door - D1</v>
      </c>
      <c r="C446" s="273">
        <f>cal!Q426</f>
        <v>1</v>
      </c>
      <c r="D446" s="264" t="s">
        <v>16</v>
      </c>
      <c r="E446" s="264"/>
      <c r="F446" s="264"/>
      <c r="G446" s="262"/>
    </row>
    <row r="447" spans="1:7" s="125" customFormat="1">
      <c r="A447" s="444">
        <v>4</v>
      </c>
      <c r="B447" s="422" t="str">
        <f>cal!A427</f>
        <v>Door - D1A</v>
      </c>
      <c r="C447" s="273">
        <f>cal!Q427</f>
        <v>1</v>
      </c>
      <c r="D447" s="264" t="s">
        <v>16</v>
      </c>
      <c r="E447" s="264"/>
      <c r="F447" s="264"/>
      <c r="G447" s="262"/>
    </row>
    <row r="448" spans="1:7" s="125" customFormat="1">
      <c r="A448" s="444">
        <v>5</v>
      </c>
      <c r="B448" s="422" t="str">
        <f>cal!A428</f>
        <v>Door - D2</v>
      </c>
      <c r="C448" s="273">
        <f>cal!Q428</f>
        <v>7</v>
      </c>
      <c r="D448" s="264" t="s">
        <v>16</v>
      </c>
      <c r="E448" s="264"/>
      <c r="F448" s="264"/>
      <c r="G448" s="262"/>
    </row>
    <row r="449" spans="1:7" s="125" customFormat="1">
      <c r="A449" s="444">
        <v>6</v>
      </c>
      <c r="B449" s="422" t="str">
        <f>cal!A429</f>
        <v>Door - D3</v>
      </c>
      <c r="C449" s="273">
        <f>cal!Q429</f>
        <v>19</v>
      </c>
      <c r="D449" s="264" t="s">
        <v>16</v>
      </c>
      <c r="E449" s="264"/>
      <c r="F449" s="264"/>
      <c r="G449" s="262"/>
    </row>
    <row r="450" spans="1:7" s="125" customFormat="1">
      <c r="A450" s="444">
        <v>7</v>
      </c>
      <c r="B450" s="422" t="str">
        <f>cal!A430</f>
        <v>Door - D4</v>
      </c>
      <c r="C450" s="273">
        <f>cal!Q430</f>
        <v>2</v>
      </c>
      <c r="D450" s="264" t="s">
        <v>16</v>
      </c>
      <c r="E450" s="264"/>
      <c r="F450" s="264"/>
      <c r="G450" s="262"/>
    </row>
    <row r="451" spans="1:7" s="125" customFormat="1">
      <c r="A451" s="444">
        <v>8</v>
      </c>
      <c r="B451" s="422" t="str">
        <f>cal!A431</f>
        <v>Door - D5</v>
      </c>
      <c r="C451" s="273">
        <f>cal!Q431</f>
        <v>1</v>
      </c>
      <c r="D451" s="264" t="s">
        <v>16</v>
      </c>
      <c r="E451" s="264"/>
      <c r="F451" s="264"/>
      <c r="G451" s="262"/>
    </row>
    <row r="452" spans="1:7" s="125" customFormat="1">
      <c r="A452" s="444">
        <v>9</v>
      </c>
      <c r="B452" s="422" t="str">
        <f>cal!A432</f>
        <v>Door - D6</v>
      </c>
      <c r="C452" s="273">
        <f>cal!Q432</f>
        <v>1</v>
      </c>
      <c r="D452" s="264" t="s">
        <v>16</v>
      </c>
      <c r="E452" s="264"/>
      <c r="F452" s="264"/>
      <c r="G452" s="262"/>
    </row>
    <row r="453" spans="1:7" s="125" customFormat="1">
      <c r="A453" s="444">
        <v>10</v>
      </c>
      <c r="B453" s="422" t="str">
        <f>cal!A433</f>
        <v>Window- W1</v>
      </c>
      <c r="C453" s="273">
        <f>cal!Q433</f>
        <v>11</v>
      </c>
      <c r="D453" s="264" t="s">
        <v>16</v>
      </c>
      <c r="E453" s="264"/>
      <c r="F453" s="264"/>
      <c r="G453" s="262"/>
    </row>
    <row r="454" spans="1:7" s="125" customFormat="1">
      <c r="A454" s="444">
        <v>11</v>
      </c>
      <c r="B454" s="422" t="str">
        <f>cal!A434</f>
        <v>Window- CW1</v>
      </c>
      <c r="C454" s="273">
        <f>cal!Q434</f>
        <v>12</v>
      </c>
      <c r="D454" s="264" t="s">
        <v>16</v>
      </c>
      <c r="E454" s="264"/>
      <c r="F454" s="264"/>
      <c r="G454" s="262"/>
    </row>
    <row r="455" spans="1:7" s="125" customFormat="1">
      <c r="A455" s="444">
        <v>12</v>
      </c>
      <c r="B455" s="422" t="str">
        <f>cal!A435</f>
        <v>Window- CW2</v>
      </c>
      <c r="C455" s="273">
        <f>cal!Q435</f>
        <v>7</v>
      </c>
      <c r="D455" s="264" t="s">
        <v>16</v>
      </c>
      <c r="E455" s="264"/>
      <c r="F455" s="264"/>
      <c r="G455" s="262"/>
    </row>
    <row r="456" spans="1:7" s="125" customFormat="1">
      <c r="A456" s="444">
        <v>13</v>
      </c>
      <c r="B456" s="422" t="str">
        <f>cal!A436</f>
        <v>Window- CW3</v>
      </c>
      <c r="C456" s="273">
        <f>cal!Q436</f>
        <v>16</v>
      </c>
      <c r="D456" s="264" t="s">
        <v>16</v>
      </c>
      <c r="E456" s="264"/>
      <c r="F456" s="264"/>
      <c r="G456" s="262"/>
    </row>
    <row r="457" spans="1:7" s="125" customFormat="1">
      <c r="A457" s="444">
        <v>14</v>
      </c>
      <c r="B457" s="422" t="str">
        <f>cal!A437</f>
        <v>Window- FW1</v>
      </c>
      <c r="C457" s="273">
        <f>cal!Q437</f>
        <v>7</v>
      </c>
      <c r="D457" s="264" t="s">
        <v>16</v>
      </c>
      <c r="E457" s="264"/>
      <c r="F457" s="264"/>
      <c r="G457" s="262"/>
    </row>
    <row r="458" spans="1:7" s="81" customFormat="1">
      <c r="A458" s="444"/>
      <c r="B458" s="422"/>
      <c r="C458" s="273"/>
      <c r="D458" s="264"/>
      <c r="E458" s="264"/>
      <c r="F458" s="264"/>
      <c r="G458" s="262"/>
    </row>
    <row r="459" spans="1:7" s="81" customFormat="1">
      <c r="A459" s="444"/>
      <c r="B459" s="422"/>
      <c r="C459" s="273"/>
      <c r="D459" s="264"/>
      <c r="E459" s="264"/>
      <c r="F459" s="264"/>
      <c r="G459" s="262"/>
    </row>
    <row r="460" spans="1:7" s="125" customFormat="1">
      <c r="A460" s="443">
        <v>8.1999999999999993</v>
      </c>
      <c r="B460" s="122" t="s">
        <v>419</v>
      </c>
      <c r="C460" s="273"/>
      <c r="D460" s="264"/>
      <c r="E460" s="264"/>
      <c r="F460" s="264"/>
      <c r="G460" s="262"/>
    </row>
    <row r="461" spans="1:7" s="125" customFormat="1">
      <c r="A461" s="444">
        <v>1</v>
      </c>
      <c r="B461" s="422" t="s">
        <v>494</v>
      </c>
      <c r="C461" s="273">
        <f>4.799*15.5</f>
        <v>74.384500000000003</v>
      </c>
      <c r="D461" s="264" t="s">
        <v>39</v>
      </c>
      <c r="E461" s="264"/>
      <c r="F461" s="264"/>
      <c r="G461" s="262"/>
    </row>
    <row r="462" spans="1:7" s="125" customFormat="1">
      <c r="A462" s="444">
        <v>2</v>
      </c>
      <c r="B462" s="422" t="s">
        <v>491</v>
      </c>
      <c r="C462" s="273">
        <f>cal!B447</f>
        <v>102.69</v>
      </c>
      <c r="D462" s="264" t="s">
        <v>39</v>
      </c>
      <c r="E462" s="264"/>
      <c r="F462" s="264"/>
      <c r="G462" s="262"/>
    </row>
    <row r="463" spans="1:7" s="125" customFormat="1">
      <c r="A463" s="444">
        <v>3</v>
      </c>
      <c r="B463" s="422" t="s">
        <v>492</v>
      </c>
      <c r="C463" s="273">
        <f>cal!B448</f>
        <v>64.928534999999997</v>
      </c>
      <c r="D463" s="264" t="s">
        <v>39</v>
      </c>
      <c r="E463" s="264"/>
      <c r="F463" s="264"/>
      <c r="G463" s="262"/>
    </row>
    <row r="464" spans="1:7" s="125" customFormat="1">
      <c r="A464" s="444">
        <v>4</v>
      </c>
      <c r="B464" s="422" t="s">
        <v>493</v>
      </c>
      <c r="C464" s="273">
        <f>cal!B449</f>
        <v>71.509080000000012</v>
      </c>
      <c r="D464" s="264" t="s">
        <v>39</v>
      </c>
      <c r="E464" s="264"/>
      <c r="F464" s="264"/>
      <c r="G464" s="262"/>
    </row>
    <row r="465" spans="1:7" s="125" customFormat="1">
      <c r="A465" s="444"/>
      <c r="B465" s="422"/>
      <c r="C465" s="273"/>
      <c r="D465" s="264"/>
      <c r="E465" s="264"/>
      <c r="F465" s="264"/>
      <c r="G465" s="262"/>
    </row>
    <row r="466" spans="1:7" s="125" customFormat="1">
      <c r="A466" s="444"/>
      <c r="B466" s="422"/>
      <c r="C466" s="273"/>
      <c r="D466" s="264"/>
      <c r="E466" s="264"/>
      <c r="F466" s="264"/>
      <c r="G466" s="262"/>
    </row>
    <row r="467" spans="1:7" s="125" customFormat="1">
      <c r="A467" s="444"/>
      <c r="B467" s="422"/>
      <c r="C467" s="273"/>
      <c r="D467" s="264"/>
      <c r="E467" s="264"/>
      <c r="F467" s="264"/>
      <c r="G467" s="262"/>
    </row>
    <row r="468" spans="1:7" s="81" customFormat="1">
      <c r="A468" s="413"/>
      <c r="B468" s="445"/>
      <c r="C468" s="249"/>
      <c r="D468" s="114"/>
      <c r="E468" s="114"/>
      <c r="F468" s="262"/>
      <c r="G468" s="261"/>
    </row>
    <row r="469" spans="1:7" s="81" customFormat="1">
      <c r="A469" s="413"/>
      <c r="B469" s="445"/>
      <c r="C469" s="249"/>
      <c r="D469" s="114"/>
      <c r="E469" s="114"/>
      <c r="F469" s="262"/>
      <c r="G469" s="261"/>
    </row>
    <row r="470" spans="1:7" s="81" customFormat="1">
      <c r="A470" s="413"/>
      <c r="B470" s="445"/>
      <c r="C470" s="249"/>
      <c r="D470" s="114"/>
      <c r="E470" s="114"/>
      <c r="F470" s="262"/>
      <c r="G470" s="261"/>
    </row>
    <row r="471" spans="1:7" s="81" customFormat="1">
      <c r="A471" s="413"/>
      <c r="B471" s="445"/>
      <c r="C471" s="249"/>
      <c r="D471" s="114"/>
      <c r="E471" s="114"/>
      <c r="F471" s="262"/>
      <c r="G471" s="261"/>
    </row>
    <row r="472" spans="1:7" s="81" customFormat="1">
      <c r="A472" s="413"/>
      <c r="B472" s="445"/>
      <c r="C472" s="249"/>
      <c r="D472" s="114"/>
      <c r="E472" s="114"/>
      <c r="F472" s="262"/>
      <c r="G472" s="261"/>
    </row>
    <row r="473" spans="1:7" s="81" customFormat="1">
      <c r="A473" s="413"/>
      <c r="B473" s="445"/>
      <c r="C473" s="249"/>
      <c r="D473" s="114"/>
      <c r="E473" s="114"/>
      <c r="F473" s="262"/>
      <c r="G473" s="261"/>
    </row>
    <row r="474" spans="1:7" s="81" customFormat="1">
      <c r="A474" s="413"/>
      <c r="B474" s="445"/>
      <c r="C474" s="249"/>
      <c r="D474" s="114"/>
      <c r="E474" s="114"/>
      <c r="F474" s="262"/>
      <c r="G474" s="261"/>
    </row>
    <row r="475" spans="1:7" s="81" customFormat="1">
      <c r="A475" s="413"/>
      <c r="B475" s="445"/>
      <c r="C475" s="249"/>
      <c r="D475" s="114"/>
      <c r="E475" s="114"/>
      <c r="F475" s="262"/>
      <c r="G475" s="261"/>
    </row>
    <row r="476" spans="1:7" s="81" customFormat="1">
      <c r="A476" s="413"/>
      <c r="B476" s="445"/>
      <c r="C476" s="249"/>
      <c r="D476" s="114"/>
      <c r="E476" s="114"/>
      <c r="F476" s="262"/>
      <c r="G476" s="261"/>
    </row>
    <row r="477" spans="1:7" s="81" customFormat="1">
      <c r="A477" s="413"/>
      <c r="B477" s="445"/>
      <c r="C477" s="249"/>
      <c r="D477" s="114"/>
      <c r="E477" s="114"/>
      <c r="F477" s="262"/>
      <c r="G477" s="261"/>
    </row>
    <row r="478" spans="1:7" s="81" customFormat="1">
      <c r="A478" s="413"/>
      <c r="B478" s="445"/>
      <c r="C478" s="249"/>
      <c r="D478" s="114"/>
      <c r="E478" s="114"/>
      <c r="F478" s="262"/>
      <c r="G478" s="261"/>
    </row>
    <row r="479" spans="1:7" s="81" customFormat="1">
      <c r="A479" s="413"/>
      <c r="B479" s="445"/>
      <c r="C479" s="249"/>
      <c r="D479" s="114"/>
      <c r="E479" s="114"/>
      <c r="F479" s="262"/>
      <c r="G479" s="261"/>
    </row>
    <row r="480" spans="1:7" s="81" customFormat="1">
      <c r="A480" s="446"/>
      <c r="B480" s="447"/>
      <c r="C480" s="367"/>
      <c r="D480" s="368"/>
      <c r="E480" s="368"/>
      <c r="F480" s="368"/>
      <c r="G480" s="339"/>
    </row>
    <row r="481" spans="1:7" s="81" customFormat="1">
      <c r="A481" s="119"/>
      <c r="B481" s="448" t="s">
        <v>352</v>
      </c>
      <c r="C481" s="370"/>
      <c r="D481" s="266"/>
      <c r="E481" s="256"/>
      <c r="F481" s="256"/>
      <c r="G481" s="256"/>
    </row>
    <row r="482" spans="1:7" s="70" customFormat="1">
      <c r="A482" s="341"/>
      <c r="B482" s="499" t="s">
        <v>69</v>
      </c>
      <c r="C482" s="499"/>
      <c r="D482" s="342"/>
      <c r="E482" s="371"/>
      <c r="F482" s="371"/>
      <c r="G482" s="371"/>
    </row>
    <row r="483" spans="1:7" s="81" customFormat="1">
      <c r="A483" s="394"/>
      <c r="B483" s="322" t="s">
        <v>353</v>
      </c>
      <c r="C483" s="395"/>
      <c r="D483" s="399"/>
      <c r="E483" s="399"/>
      <c r="F483" s="399"/>
      <c r="G483" s="324"/>
    </row>
    <row r="484" spans="1:7" s="81" customFormat="1">
      <c r="A484" s="119"/>
      <c r="B484" s="106" t="s">
        <v>6</v>
      </c>
      <c r="C484" s="259"/>
      <c r="D484" s="266"/>
      <c r="E484" s="266"/>
      <c r="F484" s="266"/>
      <c r="G484" s="256"/>
    </row>
    <row r="485" spans="1:7" s="81" customFormat="1">
      <c r="A485" s="116"/>
      <c r="B485" s="107"/>
      <c r="C485" s="249"/>
      <c r="D485" s="263"/>
      <c r="E485" s="263"/>
      <c r="F485" s="263"/>
      <c r="G485" s="261"/>
    </row>
    <row r="486" spans="1:7" s="81" customFormat="1">
      <c r="A486" s="108">
        <v>9.1</v>
      </c>
      <c r="B486" s="122" t="s">
        <v>25</v>
      </c>
      <c r="C486" s="249"/>
      <c r="D486" s="263"/>
      <c r="E486" s="263"/>
      <c r="F486" s="263"/>
      <c r="G486" s="261"/>
    </row>
    <row r="487" spans="1:7" s="81" customFormat="1" ht="51">
      <c r="A487" s="116"/>
      <c r="B487" s="111" t="s">
        <v>55</v>
      </c>
      <c r="C487" s="249"/>
      <c r="D487" s="114"/>
      <c r="E487" s="114"/>
      <c r="F487" s="114"/>
      <c r="G487" s="261"/>
    </row>
    <row r="488" spans="1:7" s="81" customFormat="1">
      <c r="A488" s="116"/>
      <c r="B488" s="449"/>
      <c r="C488" s="249"/>
      <c r="D488" s="114"/>
      <c r="E488" s="114"/>
      <c r="F488" s="114"/>
      <c r="G488" s="261"/>
    </row>
    <row r="489" spans="1:7" s="81" customFormat="1" ht="13.5" customHeight="1">
      <c r="A489" s="108">
        <v>9.1999999999999993</v>
      </c>
      <c r="B489" s="122" t="s">
        <v>163</v>
      </c>
      <c r="C489" s="249"/>
      <c r="D489" s="114"/>
      <c r="E489" s="114"/>
      <c r="F489" s="114"/>
      <c r="G489" s="261"/>
    </row>
    <row r="490" spans="1:7" s="81" customFormat="1" ht="25.5">
      <c r="A490" s="376" t="s">
        <v>135</v>
      </c>
      <c r="B490" s="118" t="s">
        <v>374</v>
      </c>
      <c r="C490" s="249"/>
      <c r="D490" s="114"/>
      <c r="E490" s="114"/>
      <c r="F490" s="114"/>
      <c r="G490" s="261"/>
    </row>
    <row r="491" spans="1:7" s="81" customFormat="1" ht="13.5" customHeight="1">
      <c r="A491" s="110">
        <v>1</v>
      </c>
      <c r="B491" s="111" t="s">
        <v>40</v>
      </c>
      <c r="C491" s="334">
        <f>cal!H394-cal!I394</f>
        <v>319.31049999999999</v>
      </c>
      <c r="D491" s="114" t="s">
        <v>39</v>
      </c>
      <c r="E491" s="264"/>
      <c r="F491" s="264"/>
      <c r="G491" s="262"/>
    </row>
    <row r="492" spans="1:7" s="81" customFormat="1" ht="13.5" customHeight="1">
      <c r="A492" s="110">
        <v>2</v>
      </c>
      <c r="B492" s="111" t="s">
        <v>206</v>
      </c>
      <c r="C492" s="334">
        <f>cal!H396</f>
        <v>333.26249999999999</v>
      </c>
      <c r="D492" s="114" t="s">
        <v>39</v>
      </c>
      <c r="E492" s="264"/>
      <c r="F492" s="264"/>
      <c r="G492" s="262"/>
    </row>
    <row r="493" spans="1:7" s="81" customFormat="1" ht="13.5" customHeight="1">
      <c r="A493" s="110">
        <v>3</v>
      </c>
      <c r="B493" s="111" t="s">
        <v>207</v>
      </c>
      <c r="C493" s="334">
        <f>C492</f>
        <v>333.26249999999999</v>
      </c>
      <c r="D493" s="114" t="s">
        <v>39</v>
      </c>
      <c r="E493" s="264"/>
      <c r="F493" s="264"/>
      <c r="G493" s="262"/>
    </row>
    <row r="494" spans="1:7" s="81" customFormat="1" ht="13.5" customHeight="1">
      <c r="A494" s="110">
        <v>4</v>
      </c>
      <c r="B494" s="118" t="s">
        <v>420</v>
      </c>
      <c r="C494" s="334">
        <f>C492</f>
        <v>333.26249999999999</v>
      </c>
      <c r="D494" s="114" t="s">
        <v>39</v>
      </c>
      <c r="E494" s="264"/>
      <c r="F494" s="264"/>
      <c r="G494" s="262"/>
    </row>
    <row r="495" spans="1:7" s="81" customFormat="1" ht="13.5" customHeight="1">
      <c r="A495" s="110"/>
      <c r="B495" s="111"/>
      <c r="C495" s="249"/>
      <c r="D495" s="114"/>
      <c r="E495" s="264"/>
      <c r="F495" s="264"/>
      <c r="G495" s="262"/>
    </row>
    <row r="496" spans="1:7" s="81" customFormat="1" ht="25.5">
      <c r="A496" s="376" t="s">
        <v>136</v>
      </c>
      <c r="B496" s="118" t="s">
        <v>375</v>
      </c>
      <c r="C496" s="249"/>
      <c r="D496" s="114"/>
      <c r="E496" s="264"/>
      <c r="F496" s="264"/>
      <c r="G496" s="262"/>
    </row>
    <row r="497" spans="1:7" s="81" customFormat="1">
      <c r="A497" s="110">
        <v>1</v>
      </c>
      <c r="B497" s="111" t="s">
        <v>40</v>
      </c>
      <c r="C497" s="249">
        <f>cal!I394</f>
        <v>13.952</v>
      </c>
      <c r="D497" s="264" t="s">
        <v>39</v>
      </c>
      <c r="E497" s="264"/>
      <c r="F497" s="264"/>
      <c r="G497" s="262"/>
    </row>
    <row r="498" spans="1:7" s="81" customFormat="1" ht="13.5" customHeight="1">
      <c r="A498" s="110">
        <v>2</v>
      </c>
      <c r="B498" s="111" t="s">
        <v>206</v>
      </c>
      <c r="C498" s="249">
        <f>cal!I396</f>
        <v>7.1680000000000001</v>
      </c>
      <c r="D498" s="114" t="s">
        <v>39</v>
      </c>
      <c r="E498" s="264"/>
      <c r="F498" s="264"/>
      <c r="G498" s="262"/>
    </row>
    <row r="499" spans="1:7" s="81" customFormat="1" ht="13.5" customHeight="1">
      <c r="A499" s="110">
        <v>3</v>
      </c>
      <c r="B499" s="111" t="s">
        <v>207</v>
      </c>
      <c r="C499" s="334">
        <f>C498</f>
        <v>7.1680000000000001</v>
      </c>
      <c r="D499" s="114" t="s">
        <v>39</v>
      </c>
      <c r="E499" s="264"/>
      <c r="F499" s="264"/>
      <c r="G499" s="262"/>
    </row>
    <row r="500" spans="1:7" s="81" customFormat="1" ht="13.5" customHeight="1">
      <c r="A500" s="110">
        <v>4</v>
      </c>
      <c r="B500" s="118" t="s">
        <v>420</v>
      </c>
      <c r="C500" s="334">
        <f>C499</f>
        <v>7.1680000000000001</v>
      </c>
      <c r="D500" s="114" t="s">
        <v>39</v>
      </c>
      <c r="E500" s="264"/>
      <c r="F500" s="264"/>
      <c r="G500" s="262"/>
    </row>
    <row r="501" spans="1:7" s="81" customFormat="1" ht="13.5" customHeight="1">
      <c r="A501" s="110"/>
      <c r="B501" s="118"/>
      <c r="C501" s="249"/>
      <c r="D501" s="114"/>
      <c r="E501" s="264"/>
      <c r="F501" s="264"/>
      <c r="G501" s="262"/>
    </row>
    <row r="502" spans="1:7" s="81" customFormat="1" ht="13.5" customHeight="1">
      <c r="A502" s="108">
        <v>9.3000000000000007</v>
      </c>
      <c r="B502" s="122" t="s">
        <v>151</v>
      </c>
      <c r="C502" s="249"/>
      <c r="D502" s="114"/>
      <c r="E502" s="264"/>
      <c r="F502" s="264"/>
      <c r="G502" s="262"/>
    </row>
    <row r="503" spans="1:7" s="81" customFormat="1" ht="13.5" customHeight="1">
      <c r="A503" s="376" t="s">
        <v>354</v>
      </c>
      <c r="B503" s="118" t="s">
        <v>376</v>
      </c>
      <c r="C503" s="249"/>
      <c r="D503" s="114"/>
      <c r="E503" s="264"/>
      <c r="F503" s="264"/>
      <c r="G503" s="262"/>
    </row>
    <row r="504" spans="1:7" s="81" customFormat="1" ht="13.5" customHeight="1">
      <c r="A504" s="110">
        <v>1</v>
      </c>
      <c r="B504" s="111" t="s">
        <v>40</v>
      </c>
      <c r="C504" s="249">
        <f>cal!L394</f>
        <v>78.794999999999987</v>
      </c>
      <c r="D504" s="264" t="s">
        <v>39</v>
      </c>
      <c r="E504" s="264"/>
      <c r="F504" s="264"/>
      <c r="G504" s="262"/>
    </row>
    <row r="505" spans="1:7" s="81" customFormat="1" ht="13.5" customHeight="1">
      <c r="A505" s="110">
        <v>2</v>
      </c>
      <c r="B505" s="111" t="s">
        <v>290</v>
      </c>
      <c r="C505" s="249">
        <f>cal!J396</f>
        <v>40.539899999999996</v>
      </c>
      <c r="D505" s="114" t="s">
        <v>39</v>
      </c>
      <c r="E505" s="264"/>
      <c r="F505" s="264"/>
      <c r="G505" s="262"/>
    </row>
    <row r="506" spans="1:7" s="81" customFormat="1" ht="13.5" customHeight="1">
      <c r="A506" s="110">
        <v>3</v>
      </c>
      <c r="B506" s="111" t="s">
        <v>495</v>
      </c>
      <c r="C506" s="249">
        <f>C505</f>
        <v>40.539899999999996</v>
      </c>
      <c r="D506" s="114" t="s">
        <v>39</v>
      </c>
      <c r="E506" s="264"/>
      <c r="F506" s="264"/>
      <c r="G506" s="262"/>
    </row>
    <row r="507" spans="1:7" s="81" customFormat="1" ht="13.5" customHeight="1">
      <c r="A507" s="110">
        <v>4</v>
      </c>
      <c r="B507" s="118" t="s">
        <v>420</v>
      </c>
      <c r="C507" s="334">
        <f>C506</f>
        <v>40.539899999999996</v>
      </c>
      <c r="D507" s="114" t="s">
        <v>39</v>
      </c>
      <c r="E507" s="264"/>
      <c r="F507" s="264"/>
      <c r="G507" s="262"/>
    </row>
    <row r="508" spans="1:7" s="81" customFormat="1" ht="13.5" customHeight="1">
      <c r="A508" s="110"/>
      <c r="B508" s="111"/>
      <c r="C508" s="249"/>
      <c r="D508" s="114"/>
      <c r="E508" s="264"/>
      <c r="F508" s="264"/>
      <c r="G508" s="262"/>
    </row>
    <row r="509" spans="1:7" s="81" customFormat="1" ht="13.5" customHeight="1">
      <c r="A509" s="108"/>
      <c r="B509" s="122"/>
      <c r="C509" s="249"/>
      <c r="D509" s="114"/>
      <c r="E509" s="264"/>
      <c r="F509" s="264"/>
      <c r="G509" s="262"/>
    </row>
    <row r="510" spans="1:7" s="81" customFormat="1">
      <c r="A510" s="376"/>
      <c r="B510" s="118"/>
      <c r="C510" s="249"/>
      <c r="D510" s="114"/>
      <c r="E510" s="264"/>
      <c r="F510" s="264"/>
      <c r="G510" s="262"/>
    </row>
    <row r="511" spans="1:7" s="81" customFormat="1" ht="13.5" customHeight="1">
      <c r="A511" s="110"/>
      <c r="B511" s="111"/>
      <c r="C511" s="249"/>
      <c r="D511" s="264"/>
      <c r="E511" s="264"/>
      <c r="F511" s="264"/>
      <c r="G511" s="262"/>
    </row>
    <row r="512" spans="1:7" s="81" customFormat="1" ht="13.5" customHeight="1">
      <c r="A512" s="110"/>
      <c r="B512" s="111"/>
      <c r="C512" s="249"/>
      <c r="D512" s="114"/>
      <c r="E512" s="264"/>
      <c r="F512" s="264"/>
      <c r="G512" s="262"/>
    </row>
    <row r="513" spans="1:7" s="81" customFormat="1" ht="13.5" customHeight="1">
      <c r="A513" s="108"/>
      <c r="B513" s="122"/>
      <c r="C513" s="249"/>
      <c r="D513" s="114"/>
      <c r="E513" s="264"/>
      <c r="F513" s="264"/>
      <c r="G513" s="262"/>
    </row>
    <row r="514" spans="1:7" s="81" customFormat="1" ht="13.5" customHeight="1">
      <c r="A514" s="376"/>
      <c r="B514" s="118"/>
      <c r="C514" s="249"/>
      <c r="D514" s="114"/>
      <c r="E514" s="264"/>
      <c r="F514" s="264"/>
      <c r="G514" s="262"/>
    </row>
    <row r="515" spans="1:7" s="81" customFormat="1" ht="13.5" customHeight="1">
      <c r="A515" s="110"/>
      <c r="B515" s="118"/>
      <c r="C515" s="249"/>
      <c r="D515" s="264"/>
      <c r="E515" s="264"/>
      <c r="F515" s="264"/>
      <c r="G515" s="262"/>
    </row>
    <row r="516" spans="1:7" s="81" customFormat="1" ht="13.5" customHeight="1">
      <c r="A516" s="110"/>
      <c r="B516" s="118"/>
      <c r="C516" s="249"/>
      <c r="D516" s="114"/>
      <c r="E516" s="264"/>
      <c r="F516" s="264"/>
      <c r="G516" s="262"/>
    </row>
    <row r="517" spans="1:7" s="81" customFormat="1" ht="13.5" customHeight="1">
      <c r="A517" s="110"/>
      <c r="B517" s="118"/>
      <c r="C517" s="249"/>
      <c r="D517" s="114"/>
      <c r="E517" s="264"/>
      <c r="F517" s="264"/>
      <c r="G517" s="262"/>
    </row>
    <row r="518" spans="1:7" s="81" customFormat="1" ht="13.5" customHeight="1">
      <c r="A518" s="110"/>
      <c r="B518" s="111"/>
      <c r="C518" s="249"/>
      <c r="D518" s="114"/>
      <c r="E518" s="114"/>
      <c r="F518" s="262"/>
      <c r="G518" s="261"/>
    </row>
    <row r="519" spans="1:7" s="81" customFormat="1" ht="13.5" customHeight="1">
      <c r="A519" s="110"/>
      <c r="B519" s="111"/>
      <c r="C519" s="249"/>
      <c r="D519" s="114"/>
      <c r="E519" s="114"/>
      <c r="F519" s="262"/>
      <c r="G519" s="261"/>
    </row>
    <row r="520" spans="1:7" s="81" customFormat="1" ht="13.5" customHeight="1">
      <c r="A520" s="110"/>
      <c r="B520" s="111"/>
      <c r="C520" s="249"/>
      <c r="D520" s="114"/>
      <c r="E520" s="114"/>
      <c r="F520" s="262"/>
      <c r="G520" s="261"/>
    </row>
    <row r="521" spans="1:7" s="81" customFormat="1" ht="13.5" customHeight="1">
      <c r="A521" s="110"/>
      <c r="B521" s="111"/>
      <c r="C521" s="249"/>
      <c r="D521" s="114"/>
      <c r="E521" s="114"/>
      <c r="F521" s="262"/>
      <c r="G521" s="261"/>
    </row>
    <row r="522" spans="1:7" s="81" customFormat="1" ht="13.5" customHeight="1">
      <c r="A522" s="110"/>
      <c r="B522" s="111"/>
      <c r="C522" s="249"/>
      <c r="D522" s="114"/>
      <c r="E522" s="114"/>
      <c r="F522" s="262"/>
      <c r="G522" s="261"/>
    </row>
    <row r="523" spans="1:7" s="81" customFormat="1" ht="13.5" customHeight="1">
      <c r="A523" s="110"/>
      <c r="B523" s="111"/>
      <c r="C523" s="249"/>
      <c r="D523" s="114"/>
      <c r="E523" s="114"/>
      <c r="F523" s="262"/>
      <c r="G523" s="261"/>
    </row>
    <row r="524" spans="1:7" s="81" customFormat="1" ht="13.5" customHeight="1">
      <c r="A524" s="110"/>
      <c r="B524" s="111"/>
      <c r="C524" s="249"/>
      <c r="D524" s="114"/>
      <c r="E524" s="114"/>
      <c r="F524" s="262"/>
      <c r="G524" s="261"/>
    </row>
    <row r="525" spans="1:7" s="81" customFormat="1" ht="13.5" customHeight="1">
      <c r="A525" s="110"/>
      <c r="B525" s="111"/>
      <c r="C525" s="249"/>
      <c r="D525" s="114"/>
      <c r="E525" s="114"/>
      <c r="F525" s="262"/>
      <c r="G525" s="261"/>
    </row>
    <row r="526" spans="1:7" s="81" customFormat="1" ht="13.5" customHeight="1">
      <c r="A526" s="110"/>
      <c r="B526" s="111"/>
      <c r="C526" s="249"/>
      <c r="D526" s="114"/>
      <c r="E526" s="114"/>
      <c r="F526" s="262"/>
      <c r="G526" s="261"/>
    </row>
    <row r="527" spans="1:7" s="81" customFormat="1" ht="13.5" customHeight="1">
      <c r="A527" s="110"/>
      <c r="B527" s="111"/>
      <c r="C527" s="249"/>
      <c r="D527" s="114"/>
      <c r="E527" s="114"/>
      <c r="F527" s="262"/>
      <c r="G527" s="261"/>
    </row>
    <row r="528" spans="1:7" s="115" customFormat="1" ht="13.5" customHeight="1">
      <c r="A528" s="121"/>
      <c r="B528" s="450"/>
      <c r="C528" s="249"/>
      <c r="D528" s="114"/>
      <c r="E528" s="114"/>
      <c r="F528" s="114"/>
      <c r="G528" s="261"/>
    </row>
    <row r="529" spans="1:7" s="81" customFormat="1">
      <c r="A529" s="110"/>
      <c r="B529" s="111"/>
      <c r="C529" s="249"/>
      <c r="D529" s="114"/>
      <c r="E529" s="114"/>
      <c r="F529" s="114"/>
      <c r="G529" s="261"/>
    </row>
    <row r="530" spans="1:7" s="81" customFormat="1">
      <c r="A530" s="365"/>
      <c r="B530" s="447"/>
      <c r="C530" s="367"/>
      <c r="D530" s="368"/>
      <c r="E530" s="368"/>
      <c r="F530" s="368"/>
      <c r="G530" s="339"/>
    </row>
    <row r="531" spans="1:7" s="81" customFormat="1">
      <c r="A531" s="119"/>
      <c r="B531" s="369" t="s">
        <v>355</v>
      </c>
      <c r="C531" s="370"/>
      <c r="D531" s="266"/>
      <c r="E531" s="266"/>
      <c r="F531" s="266"/>
      <c r="G531" s="256"/>
    </row>
    <row r="532" spans="1:7" s="70" customFormat="1">
      <c r="A532" s="341"/>
      <c r="B532" s="499" t="s">
        <v>356</v>
      </c>
      <c r="C532" s="499"/>
      <c r="D532" s="342"/>
      <c r="E532" s="371"/>
      <c r="F532" s="371"/>
      <c r="G532" s="371"/>
    </row>
    <row r="533" spans="1:7" s="81" customFormat="1">
      <c r="A533" s="394"/>
      <c r="B533" s="322" t="s">
        <v>73</v>
      </c>
      <c r="C533" s="395"/>
      <c r="D533" s="399"/>
      <c r="E533" s="399"/>
      <c r="F533" s="399"/>
      <c r="G533" s="324"/>
    </row>
    <row r="534" spans="1:7" s="81" customFormat="1">
      <c r="A534" s="374"/>
      <c r="B534" s="106" t="s">
        <v>56</v>
      </c>
      <c r="C534" s="347"/>
      <c r="D534" s="260"/>
      <c r="E534" s="260"/>
      <c r="F534" s="260"/>
      <c r="G534" s="256"/>
    </row>
    <row r="535" spans="1:7" s="81" customFormat="1">
      <c r="A535" s="108"/>
      <c r="B535" s="107"/>
      <c r="C535" s="359"/>
      <c r="D535" s="114"/>
      <c r="E535" s="114"/>
      <c r="F535" s="114"/>
      <c r="G535" s="261"/>
    </row>
    <row r="536" spans="1:7" s="81" customFormat="1">
      <c r="A536" s="108">
        <v>10.1</v>
      </c>
      <c r="B536" s="122" t="s">
        <v>57</v>
      </c>
      <c r="C536" s="359"/>
      <c r="D536" s="114"/>
      <c r="E536" s="114"/>
      <c r="F536" s="114"/>
      <c r="G536" s="261"/>
    </row>
    <row r="537" spans="1:7" s="81" customFormat="1">
      <c r="A537" s="451" t="s">
        <v>357</v>
      </c>
      <c r="B537" s="117" t="s">
        <v>58</v>
      </c>
      <c r="C537" s="249"/>
      <c r="D537" s="114"/>
      <c r="E537" s="114"/>
      <c r="F537" s="114"/>
      <c r="G537" s="261"/>
    </row>
    <row r="538" spans="1:7" s="81" customFormat="1" ht="102.75" customHeight="1">
      <c r="A538" s="116"/>
      <c r="B538" s="452" t="s">
        <v>269</v>
      </c>
      <c r="C538" s="249"/>
      <c r="D538" s="114"/>
      <c r="E538" s="114"/>
      <c r="F538" s="114"/>
      <c r="G538" s="261"/>
    </row>
    <row r="539" spans="1:7" s="81" customFormat="1" ht="25.5">
      <c r="A539" s="110" t="s">
        <v>9</v>
      </c>
      <c r="B539" s="453" t="s">
        <v>59</v>
      </c>
      <c r="C539" s="249"/>
      <c r="D539" s="114"/>
      <c r="E539" s="114"/>
      <c r="F539" s="114"/>
      <c r="G539" s="261"/>
    </row>
    <row r="540" spans="1:7" s="81" customFormat="1" ht="25.5">
      <c r="A540" s="110"/>
      <c r="B540" s="453" t="s">
        <v>60</v>
      </c>
      <c r="C540" s="249"/>
      <c r="D540" s="114"/>
      <c r="E540" s="114"/>
      <c r="F540" s="114"/>
      <c r="G540" s="261"/>
    </row>
    <row r="541" spans="1:7" s="81" customFormat="1">
      <c r="A541" s="110"/>
      <c r="B541" s="453"/>
      <c r="C541" s="249"/>
      <c r="D541" s="114"/>
      <c r="E541" s="114"/>
      <c r="F541" s="114"/>
      <c r="G541" s="261"/>
    </row>
    <row r="542" spans="1:7" s="115" customFormat="1">
      <c r="A542" s="454" t="s">
        <v>358</v>
      </c>
      <c r="B542" s="109" t="s">
        <v>61</v>
      </c>
      <c r="C542" s="249"/>
      <c r="D542" s="114"/>
      <c r="E542" s="114"/>
      <c r="F542" s="262"/>
      <c r="G542" s="261"/>
    </row>
    <row r="543" spans="1:7" s="81" customFormat="1" ht="25.5">
      <c r="A543" s="110"/>
      <c r="B543" s="453" t="s">
        <v>62</v>
      </c>
      <c r="C543" s="249">
        <v>1</v>
      </c>
      <c r="D543" s="114" t="s">
        <v>11</v>
      </c>
      <c r="E543" s="264"/>
      <c r="F543" s="264"/>
      <c r="G543" s="262"/>
    </row>
    <row r="544" spans="1:7" s="81" customFormat="1">
      <c r="A544" s="110"/>
      <c r="B544" s="453"/>
      <c r="C544" s="249"/>
      <c r="D544" s="114"/>
      <c r="E544" s="264"/>
      <c r="F544" s="264"/>
      <c r="G544" s="262"/>
    </row>
    <row r="545" spans="1:7" s="115" customFormat="1">
      <c r="A545" s="454" t="s">
        <v>359</v>
      </c>
      <c r="B545" s="109" t="s">
        <v>63</v>
      </c>
      <c r="C545" s="249"/>
      <c r="D545" s="114"/>
      <c r="E545" s="264"/>
      <c r="F545" s="264"/>
      <c r="G545" s="262"/>
    </row>
    <row r="546" spans="1:7" s="81" customFormat="1">
      <c r="A546" s="110">
        <v>1</v>
      </c>
      <c r="B546" s="455" t="s">
        <v>331</v>
      </c>
      <c r="C546" s="249">
        <v>1</v>
      </c>
      <c r="D546" s="114" t="s">
        <v>11</v>
      </c>
      <c r="E546" s="264"/>
      <c r="F546" s="264"/>
      <c r="G546" s="262"/>
    </row>
    <row r="547" spans="1:7" s="81" customFormat="1" ht="51">
      <c r="A547" s="110">
        <v>2</v>
      </c>
      <c r="B547" s="112" t="s">
        <v>176</v>
      </c>
      <c r="C547" s="249">
        <v>1</v>
      </c>
      <c r="D547" s="114" t="s">
        <v>11</v>
      </c>
      <c r="E547" s="264"/>
      <c r="F547" s="264"/>
      <c r="G547" s="262"/>
    </row>
    <row r="548" spans="1:7" s="81" customFormat="1" ht="38.25">
      <c r="A548" s="110">
        <v>3</v>
      </c>
      <c r="B548" s="354" t="s">
        <v>178</v>
      </c>
      <c r="C548" s="249">
        <v>1</v>
      </c>
      <c r="D548" s="114" t="s">
        <v>11</v>
      </c>
      <c r="E548" s="264"/>
      <c r="F548" s="264"/>
      <c r="G548" s="262"/>
    </row>
    <row r="549" spans="1:7" s="81" customFormat="1" ht="38.25">
      <c r="A549" s="110">
        <v>4</v>
      </c>
      <c r="B549" s="354" t="s">
        <v>179</v>
      </c>
      <c r="C549" s="249">
        <v>1</v>
      </c>
      <c r="D549" s="114" t="s">
        <v>152</v>
      </c>
      <c r="E549" s="264"/>
      <c r="F549" s="264"/>
      <c r="G549" s="262"/>
    </row>
    <row r="550" spans="1:7" s="81" customFormat="1">
      <c r="A550" s="110"/>
      <c r="B550" s="456"/>
      <c r="C550" s="249"/>
      <c r="D550" s="114"/>
      <c r="E550" s="264"/>
      <c r="F550" s="264"/>
      <c r="G550" s="262"/>
    </row>
    <row r="551" spans="1:7" s="115" customFormat="1">
      <c r="A551" s="121" t="s">
        <v>133</v>
      </c>
      <c r="B551" s="109" t="s">
        <v>64</v>
      </c>
      <c r="C551" s="249"/>
      <c r="D551" s="114"/>
      <c r="E551" s="264"/>
      <c r="F551" s="264"/>
      <c r="G551" s="262"/>
    </row>
    <row r="552" spans="1:7" s="81" customFormat="1" ht="63.75">
      <c r="A552" s="110"/>
      <c r="B552" s="456" t="s">
        <v>138</v>
      </c>
      <c r="C552" s="249"/>
      <c r="D552" s="114"/>
      <c r="E552" s="264"/>
      <c r="F552" s="264"/>
      <c r="G552" s="262"/>
    </row>
    <row r="553" spans="1:7" s="81" customFormat="1">
      <c r="A553" s="110"/>
      <c r="B553" s="456"/>
      <c r="C553" s="249"/>
      <c r="D553" s="114"/>
      <c r="E553" s="264"/>
      <c r="F553" s="264"/>
      <c r="G553" s="262"/>
    </row>
    <row r="554" spans="1:7" s="81" customFormat="1">
      <c r="A554" s="457">
        <v>1</v>
      </c>
      <c r="B554" s="453" t="s">
        <v>172</v>
      </c>
      <c r="C554" s="249">
        <v>10</v>
      </c>
      <c r="D554" s="114" t="s">
        <v>16</v>
      </c>
      <c r="E554" s="264"/>
      <c r="F554" s="264"/>
      <c r="G554" s="262"/>
    </row>
    <row r="555" spans="1:7" s="81" customFormat="1" ht="25.5">
      <c r="A555" s="110">
        <v>2</v>
      </c>
      <c r="B555" s="458" t="s">
        <v>323</v>
      </c>
      <c r="C555" s="249">
        <v>10</v>
      </c>
      <c r="D555" s="114" t="s">
        <v>16</v>
      </c>
      <c r="E555" s="264"/>
      <c r="F555" s="264"/>
      <c r="G555" s="262"/>
    </row>
    <row r="556" spans="1:7" s="81" customFormat="1">
      <c r="A556" s="110">
        <v>3</v>
      </c>
      <c r="B556" s="458" t="s">
        <v>360</v>
      </c>
      <c r="C556" s="249">
        <v>10</v>
      </c>
      <c r="D556" s="114" t="s">
        <v>16</v>
      </c>
      <c r="E556" s="264"/>
      <c r="F556" s="264"/>
      <c r="G556" s="262"/>
    </row>
    <row r="557" spans="1:7" s="81" customFormat="1">
      <c r="A557" s="457">
        <v>4</v>
      </c>
      <c r="B557" s="453" t="s">
        <v>174</v>
      </c>
      <c r="C557" s="249">
        <v>10</v>
      </c>
      <c r="D557" s="114" t="s">
        <v>16</v>
      </c>
      <c r="E557" s="264"/>
      <c r="F557" s="264"/>
      <c r="G557" s="262"/>
    </row>
    <row r="558" spans="1:7" s="81" customFormat="1">
      <c r="A558" s="110">
        <v>5</v>
      </c>
      <c r="B558" s="449" t="s">
        <v>175</v>
      </c>
      <c r="C558" s="249">
        <v>10</v>
      </c>
      <c r="D558" s="114" t="s">
        <v>16</v>
      </c>
      <c r="E558" s="264"/>
      <c r="F558" s="264"/>
      <c r="G558" s="262"/>
    </row>
    <row r="559" spans="1:7" s="81" customFormat="1">
      <c r="A559" s="457">
        <v>6</v>
      </c>
      <c r="B559" s="453" t="s">
        <v>220</v>
      </c>
      <c r="C559" s="249">
        <v>10</v>
      </c>
      <c r="D559" s="114" t="s">
        <v>16</v>
      </c>
      <c r="E559" s="264"/>
      <c r="F559" s="264"/>
      <c r="G559" s="262"/>
    </row>
    <row r="560" spans="1:7" s="81" customFormat="1">
      <c r="A560" s="110">
        <v>7</v>
      </c>
      <c r="B560" s="453" t="s">
        <v>173</v>
      </c>
      <c r="C560" s="249">
        <v>10</v>
      </c>
      <c r="D560" s="114" t="s">
        <v>16</v>
      </c>
      <c r="E560" s="264"/>
      <c r="F560" s="264"/>
      <c r="G560" s="262"/>
    </row>
    <row r="561" spans="1:7" s="81" customFormat="1">
      <c r="A561" s="457">
        <v>8</v>
      </c>
      <c r="B561" s="459" t="s">
        <v>330</v>
      </c>
      <c r="C561" s="249">
        <v>0</v>
      </c>
      <c r="D561" s="114" t="s">
        <v>16</v>
      </c>
      <c r="E561" s="264"/>
      <c r="F561" s="264"/>
      <c r="G561" s="262"/>
    </row>
    <row r="562" spans="1:7" s="81" customFormat="1">
      <c r="A562" s="110">
        <v>9</v>
      </c>
      <c r="B562" s="460" t="s">
        <v>361</v>
      </c>
      <c r="C562" s="249">
        <v>10</v>
      </c>
      <c r="D562" s="114" t="s">
        <v>16</v>
      </c>
      <c r="E562" s="264"/>
      <c r="F562" s="264"/>
      <c r="G562" s="262"/>
    </row>
    <row r="563" spans="1:7" s="81" customFormat="1">
      <c r="A563" s="457">
        <v>10</v>
      </c>
      <c r="B563" s="461" t="s">
        <v>362</v>
      </c>
      <c r="C563" s="249">
        <v>10</v>
      </c>
      <c r="D563" s="114" t="s">
        <v>16</v>
      </c>
      <c r="E563" s="264"/>
      <c r="F563" s="264"/>
      <c r="G563" s="262"/>
    </row>
    <row r="564" spans="1:7" s="81" customFormat="1">
      <c r="A564" s="110">
        <v>11</v>
      </c>
      <c r="B564" s="461" t="s">
        <v>363</v>
      </c>
      <c r="C564" s="249">
        <v>10</v>
      </c>
      <c r="D564" s="114" t="s">
        <v>16</v>
      </c>
      <c r="E564" s="264"/>
      <c r="F564" s="264"/>
      <c r="G564" s="262"/>
    </row>
    <row r="565" spans="1:7" s="81" customFormat="1">
      <c r="A565" s="457"/>
      <c r="B565" s="462"/>
      <c r="C565" s="249"/>
      <c r="D565" s="114"/>
      <c r="E565" s="264"/>
      <c r="F565" s="264"/>
      <c r="G565" s="262"/>
    </row>
    <row r="566" spans="1:7" s="81" customFormat="1">
      <c r="A566" s="110"/>
      <c r="B566" s="459"/>
      <c r="C566" s="249"/>
      <c r="D566" s="114"/>
      <c r="E566" s="264"/>
      <c r="F566" s="264"/>
      <c r="G566" s="262"/>
    </row>
    <row r="567" spans="1:7" s="81" customFormat="1">
      <c r="A567" s="110"/>
      <c r="B567" s="459"/>
      <c r="C567" s="249"/>
      <c r="D567" s="114"/>
      <c r="E567" s="264"/>
      <c r="F567" s="264"/>
      <c r="G567" s="262"/>
    </row>
    <row r="568" spans="1:7" s="81" customFormat="1">
      <c r="A568" s="457"/>
      <c r="B568" s="449"/>
      <c r="C568" s="249"/>
      <c r="D568" s="114"/>
      <c r="E568" s="114"/>
      <c r="F568" s="262"/>
      <c r="G568" s="261"/>
    </row>
    <row r="569" spans="1:7" s="115" customFormat="1">
      <c r="A569" s="121" t="s">
        <v>134</v>
      </c>
      <c r="B569" s="109" t="s">
        <v>96</v>
      </c>
      <c r="C569" s="249"/>
      <c r="D569" s="114"/>
      <c r="E569" s="114"/>
      <c r="F569" s="262"/>
      <c r="G569" s="261"/>
    </row>
    <row r="570" spans="1:7" s="81" customFormat="1" ht="51">
      <c r="A570" s="110">
        <v>1</v>
      </c>
      <c r="B570" s="112" t="s">
        <v>65</v>
      </c>
      <c r="C570" s="249">
        <v>1</v>
      </c>
      <c r="D570" s="261" t="s">
        <v>16</v>
      </c>
      <c r="E570" s="264"/>
      <c r="F570" s="264"/>
      <c r="G570" s="262"/>
    </row>
    <row r="571" spans="1:7" s="81" customFormat="1">
      <c r="A571" s="110"/>
      <c r="B571" s="375"/>
      <c r="C571" s="249"/>
      <c r="D571" s="261"/>
      <c r="E571" s="264"/>
      <c r="F571" s="264"/>
      <c r="G571" s="262"/>
    </row>
    <row r="572" spans="1:7" s="81" customFormat="1">
      <c r="A572" s="110"/>
      <c r="B572" s="112"/>
      <c r="C572" s="249"/>
      <c r="D572" s="261"/>
      <c r="E572" s="261"/>
      <c r="F572" s="262"/>
      <c r="G572" s="261"/>
    </row>
    <row r="573" spans="1:7" s="81" customFormat="1">
      <c r="A573" s="108">
        <v>9.1999999999999993</v>
      </c>
      <c r="B573" s="122" t="s">
        <v>66</v>
      </c>
      <c r="C573" s="249"/>
      <c r="D573" s="114"/>
      <c r="E573" s="264"/>
      <c r="F573" s="264"/>
      <c r="G573" s="262"/>
    </row>
    <row r="574" spans="1:7" s="115" customFormat="1">
      <c r="A574" s="121" t="s">
        <v>135</v>
      </c>
      <c r="B574" s="109" t="s">
        <v>58</v>
      </c>
      <c r="C574" s="249"/>
      <c r="D574" s="114"/>
      <c r="E574" s="261"/>
      <c r="F574" s="262"/>
      <c r="G574" s="261"/>
    </row>
    <row r="575" spans="1:7" s="81" customFormat="1" ht="76.5">
      <c r="A575" s="108" t="s">
        <v>9</v>
      </c>
      <c r="B575" s="111" t="s">
        <v>67</v>
      </c>
      <c r="C575" s="249"/>
      <c r="D575" s="114"/>
      <c r="E575" s="264"/>
      <c r="F575" s="264"/>
      <c r="G575" s="262"/>
    </row>
    <row r="576" spans="1:7" s="81" customFormat="1">
      <c r="A576" s="110"/>
      <c r="B576" s="175" t="s">
        <v>68</v>
      </c>
      <c r="C576" s="249"/>
      <c r="D576" s="114"/>
      <c r="E576" s="261"/>
      <c r="F576" s="262"/>
      <c r="G576" s="261"/>
    </row>
    <row r="577" spans="1:7" s="81" customFormat="1">
      <c r="A577" s="110"/>
      <c r="B577" s="175"/>
      <c r="C577" s="249"/>
      <c r="D577" s="114"/>
      <c r="E577" s="264"/>
      <c r="F577" s="264"/>
      <c r="G577" s="262"/>
    </row>
    <row r="578" spans="1:7" s="115" customFormat="1">
      <c r="A578" s="121" t="s">
        <v>136</v>
      </c>
      <c r="B578" s="109" t="s">
        <v>384</v>
      </c>
      <c r="C578" s="249"/>
      <c r="D578" s="114"/>
      <c r="E578" s="261"/>
      <c r="F578" s="262"/>
      <c r="G578" s="261"/>
    </row>
    <row r="579" spans="1:7" s="81" customFormat="1" ht="38.25">
      <c r="A579" s="110">
        <v>1</v>
      </c>
      <c r="B579" s="175" t="s">
        <v>171</v>
      </c>
      <c r="C579" s="249">
        <v>1</v>
      </c>
      <c r="D579" s="261" t="s">
        <v>16</v>
      </c>
      <c r="E579" s="264"/>
      <c r="F579" s="264"/>
      <c r="G579" s="262"/>
    </row>
    <row r="580" spans="1:7" s="81" customFormat="1">
      <c r="A580" s="110"/>
      <c r="B580" s="113"/>
      <c r="C580" s="249"/>
      <c r="D580" s="262"/>
      <c r="E580" s="264"/>
      <c r="F580" s="264"/>
      <c r="G580" s="262"/>
    </row>
    <row r="581" spans="1:7" s="81" customFormat="1">
      <c r="A581" s="110"/>
      <c r="B581" s="175"/>
      <c r="C581" s="249"/>
      <c r="D581" s="261"/>
      <c r="E581" s="264"/>
      <c r="F581" s="264"/>
      <c r="G581" s="262"/>
    </row>
    <row r="582" spans="1:7" s="81" customFormat="1">
      <c r="A582" s="110"/>
      <c r="B582" s="175"/>
      <c r="C582" s="249"/>
      <c r="D582" s="261"/>
      <c r="E582" s="261"/>
      <c r="F582" s="262"/>
      <c r="G582" s="261"/>
    </row>
    <row r="583" spans="1:7" s="81" customFormat="1">
      <c r="A583" s="110"/>
      <c r="B583" s="175"/>
      <c r="C583" s="249"/>
      <c r="D583" s="261"/>
      <c r="E583" s="264"/>
      <c r="F583" s="264"/>
      <c r="G583" s="262"/>
    </row>
    <row r="584" spans="1:7" s="81" customFormat="1">
      <c r="A584" s="110"/>
      <c r="B584" s="175"/>
      <c r="C584" s="249"/>
      <c r="D584" s="261"/>
      <c r="E584" s="261"/>
      <c r="F584" s="262"/>
      <c r="G584" s="261"/>
    </row>
    <row r="585" spans="1:7" s="81" customFormat="1">
      <c r="A585" s="110"/>
      <c r="B585" s="175"/>
      <c r="C585" s="249"/>
      <c r="D585" s="261"/>
      <c r="E585" s="264"/>
      <c r="F585" s="264"/>
      <c r="G585" s="262"/>
    </row>
    <row r="586" spans="1:7" s="81" customFormat="1">
      <c r="A586" s="110"/>
      <c r="B586" s="175"/>
      <c r="C586" s="249"/>
      <c r="D586" s="261"/>
      <c r="E586" s="261"/>
      <c r="F586" s="262"/>
      <c r="G586" s="261"/>
    </row>
    <row r="587" spans="1:7" s="81" customFormat="1">
      <c r="A587" s="110"/>
      <c r="B587" s="175"/>
      <c r="C587" s="249"/>
      <c r="D587" s="261"/>
      <c r="E587" s="264"/>
      <c r="F587" s="264"/>
      <c r="G587" s="262"/>
    </row>
    <row r="588" spans="1:7" s="81" customFormat="1">
      <c r="A588" s="110"/>
      <c r="B588" s="175"/>
      <c r="C588" s="249"/>
      <c r="D588" s="261"/>
      <c r="E588" s="261"/>
      <c r="F588" s="262"/>
      <c r="G588" s="261"/>
    </row>
    <row r="589" spans="1:7" s="81" customFormat="1">
      <c r="A589" s="110"/>
      <c r="B589" s="175"/>
      <c r="C589" s="249"/>
      <c r="D589" s="261"/>
      <c r="E589" s="261"/>
      <c r="F589" s="262"/>
      <c r="G589" s="261"/>
    </row>
    <row r="590" spans="1:7" s="81" customFormat="1">
      <c r="A590" s="110"/>
      <c r="B590" s="175"/>
      <c r="C590" s="249"/>
      <c r="D590" s="261"/>
      <c r="E590" s="261"/>
      <c r="F590" s="262"/>
      <c r="G590" s="261"/>
    </row>
    <row r="591" spans="1:7" s="81" customFormat="1">
      <c r="A591" s="110"/>
      <c r="B591" s="175"/>
      <c r="C591" s="249"/>
      <c r="D591" s="261"/>
      <c r="E591" s="261"/>
      <c r="F591" s="262"/>
      <c r="G591" s="261"/>
    </row>
    <row r="592" spans="1:7" s="81" customFormat="1">
      <c r="A592" s="110"/>
      <c r="B592" s="175"/>
      <c r="C592" s="249"/>
      <c r="D592" s="261"/>
      <c r="E592" s="261"/>
      <c r="F592" s="262"/>
      <c r="G592" s="261"/>
    </row>
    <row r="593" spans="1:7" s="81" customFormat="1">
      <c r="A593" s="110"/>
      <c r="B593" s="175"/>
      <c r="C593" s="249"/>
      <c r="D593" s="261"/>
      <c r="E593" s="261"/>
      <c r="F593" s="262"/>
      <c r="G593" s="261"/>
    </row>
    <row r="594" spans="1:7" s="81" customFormat="1">
      <c r="A594" s="110"/>
      <c r="B594" s="175"/>
      <c r="C594" s="249"/>
      <c r="D594" s="261"/>
      <c r="E594" s="261"/>
      <c r="F594" s="262"/>
      <c r="G594" s="261"/>
    </row>
    <row r="595" spans="1:7" s="81" customFormat="1">
      <c r="A595" s="110"/>
      <c r="B595" s="175"/>
      <c r="C595" s="249"/>
      <c r="D595" s="261"/>
      <c r="E595" s="261"/>
      <c r="F595" s="262"/>
      <c r="G595" s="261"/>
    </row>
    <row r="596" spans="1:7" s="81" customFormat="1">
      <c r="A596" s="110"/>
      <c r="B596" s="175"/>
      <c r="C596" s="249"/>
      <c r="D596" s="261"/>
      <c r="E596" s="261"/>
      <c r="F596" s="262"/>
      <c r="G596" s="261"/>
    </row>
    <row r="597" spans="1:7" s="81" customFormat="1">
      <c r="A597" s="110"/>
      <c r="B597" s="175"/>
      <c r="C597" s="249"/>
      <c r="D597" s="261"/>
      <c r="E597" s="261"/>
      <c r="F597" s="262"/>
      <c r="G597" s="261"/>
    </row>
    <row r="598" spans="1:7" s="81" customFormat="1">
      <c r="A598" s="110"/>
      <c r="B598" s="175"/>
      <c r="C598" s="249"/>
      <c r="D598" s="261"/>
      <c r="E598" s="261"/>
      <c r="F598" s="262"/>
      <c r="G598" s="261"/>
    </row>
    <row r="599" spans="1:7" s="81" customFormat="1">
      <c r="A599" s="110"/>
      <c r="B599" s="175"/>
      <c r="C599" s="249"/>
      <c r="D599" s="261"/>
      <c r="E599" s="261"/>
      <c r="F599" s="262"/>
      <c r="G599" s="261"/>
    </row>
    <row r="600" spans="1:7" s="81" customFormat="1">
      <c r="A600" s="110"/>
      <c r="B600" s="175"/>
      <c r="C600" s="249"/>
      <c r="D600" s="261"/>
      <c r="E600" s="261"/>
      <c r="F600" s="262"/>
      <c r="G600" s="261"/>
    </row>
    <row r="601" spans="1:7" s="81" customFormat="1">
      <c r="A601" s="110"/>
      <c r="B601" s="175"/>
      <c r="C601" s="249"/>
      <c r="D601" s="261"/>
      <c r="E601" s="261"/>
      <c r="F601" s="262"/>
      <c r="G601" s="261"/>
    </row>
    <row r="602" spans="1:7" s="81" customFormat="1">
      <c r="A602" s="110"/>
      <c r="B602" s="175"/>
      <c r="C602" s="249"/>
      <c r="D602" s="261"/>
      <c r="E602" s="261"/>
      <c r="F602" s="262"/>
      <c r="G602" s="261"/>
    </row>
    <row r="603" spans="1:7" s="81" customFormat="1">
      <c r="A603" s="110"/>
      <c r="B603" s="175"/>
      <c r="C603" s="249"/>
      <c r="D603" s="261"/>
      <c r="E603" s="261"/>
      <c r="F603" s="262"/>
      <c r="G603" s="261"/>
    </row>
    <row r="604" spans="1:7" s="81" customFormat="1">
      <c r="A604" s="110"/>
      <c r="B604" s="175"/>
      <c r="C604" s="249"/>
      <c r="D604" s="261"/>
      <c r="E604" s="261"/>
      <c r="F604" s="262"/>
      <c r="G604" s="261"/>
    </row>
    <row r="605" spans="1:7" s="81" customFormat="1">
      <c r="A605" s="110"/>
      <c r="B605" s="175"/>
      <c r="C605" s="249"/>
      <c r="D605" s="261"/>
      <c r="E605" s="261"/>
      <c r="F605" s="262"/>
      <c r="G605" s="261"/>
    </row>
    <row r="606" spans="1:7" s="81" customFormat="1">
      <c r="A606" s="110"/>
      <c r="B606" s="175"/>
      <c r="C606" s="249"/>
      <c r="D606" s="261"/>
      <c r="E606" s="261"/>
      <c r="F606" s="262"/>
      <c r="G606" s="261"/>
    </row>
    <row r="607" spans="1:7" s="81" customFormat="1">
      <c r="A607" s="121"/>
      <c r="B607" s="109"/>
      <c r="C607" s="265"/>
      <c r="D607" s="263"/>
      <c r="E607" s="263"/>
      <c r="F607" s="262"/>
      <c r="G607" s="261"/>
    </row>
    <row r="608" spans="1:7" s="81" customFormat="1">
      <c r="A608" s="116"/>
      <c r="B608" s="111"/>
      <c r="C608" s="249"/>
      <c r="D608" s="114"/>
      <c r="E608" s="114"/>
      <c r="F608" s="114"/>
      <c r="G608" s="261"/>
    </row>
    <row r="609" spans="1:7" s="81" customFormat="1">
      <c r="A609" s="463"/>
      <c r="B609" s="447"/>
      <c r="C609" s="367"/>
      <c r="D609" s="368"/>
      <c r="E609" s="368"/>
      <c r="F609" s="368"/>
      <c r="G609" s="339"/>
    </row>
    <row r="610" spans="1:7" s="81" customFormat="1">
      <c r="A610" s="119"/>
      <c r="B610" s="500" t="s">
        <v>520</v>
      </c>
      <c r="C610" s="500"/>
      <c r="D610" s="266"/>
      <c r="E610" s="266"/>
      <c r="F610" s="266"/>
      <c r="G610" s="256"/>
    </row>
    <row r="611" spans="1:7" s="70" customFormat="1">
      <c r="A611" s="341"/>
      <c r="B611" s="497" t="s">
        <v>72</v>
      </c>
      <c r="C611" s="497"/>
      <c r="D611" s="342"/>
      <c r="E611" s="371"/>
      <c r="F611" s="371"/>
      <c r="G611" s="371"/>
    </row>
    <row r="612" spans="1:7" s="81" customFormat="1">
      <c r="A612" s="394"/>
      <c r="B612" s="322" t="s">
        <v>74</v>
      </c>
      <c r="C612" s="395"/>
      <c r="D612" s="399"/>
      <c r="E612" s="399"/>
      <c r="F612" s="399"/>
      <c r="G612" s="324"/>
    </row>
    <row r="613" spans="1:7" s="81" customFormat="1">
      <c r="A613" s="119"/>
      <c r="B613" s="106" t="s">
        <v>7</v>
      </c>
      <c r="C613" s="259"/>
      <c r="D613" s="266"/>
      <c r="E613" s="266"/>
      <c r="F613" s="266"/>
      <c r="G613" s="256"/>
    </row>
    <row r="614" spans="1:7" s="81" customFormat="1">
      <c r="A614" s="116"/>
      <c r="B614" s="107"/>
      <c r="C614" s="249"/>
      <c r="D614" s="263"/>
      <c r="E614" s="263"/>
      <c r="F614" s="263"/>
      <c r="G614" s="261"/>
    </row>
    <row r="615" spans="1:7" s="81" customFormat="1">
      <c r="A615" s="464">
        <v>11.1</v>
      </c>
      <c r="B615" s="109" t="s">
        <v>180</v>
      </c>
      <c r="C615" s="249"/>
      <c r="D615" s="263"/>
      <c r="E615" s="263"/>
      <c r="F615" s="263"/>
      <c r="G615" s="261"/>
    </row>
    <row r="616" spans="1:7" s="81" customFormat="1" ht="89.25">
      <c r="A616" s="116"/>
      <c r="B616" s="112" t="s">
        <v>181</v>
      </c>
      <c r="C616" s="249"/>
      <c r="D616" s="263"/>
      <c r="E616" s="263"/>
      <c r="F616" s="263"/>
      <c r="G616" s="261"/>
    </row>
    <row r="617" spans="1:7" s="81" customFormat="1" ht="25.5">
      <c r="A617" s="116"/>
      <c r="B617" s="112" t="s">
        <v>70</v>
      </c>
      <c r="C617" s="249"/>
      <c r="D617" s="114"/>
      <c r="E617" s="114"/>
      <c r="F617" s="114"/>
      <c r="G617" s="261"/>
    </row>
    <row r="618" spans="1:7" s="81" customFormat="1" ht="21" customHeight="1">
      <c r="A618" s="116"/>
      <c r="B618" s="112"/>
      <c r="C618" s="249"/>
      <c r="D618" s="114"/>
      <c r="E618" s="114"/>
      <c r="F618" s="114"/>
      <c r="G618" s="261"/>
    </row>
    <row r="619" spans="1:7" s="81" customFormat="1">
      <c r="A619" s="108">
        <v>11.2</v>
      </c>
      <c r="B619" s="120" t="s">
        <v>168</v>
      </c>
      <c r="C619" s="249"/>
      <c r="D619" s="114"/>
      <c r="E619" s="114"/>
      <c r="F619" s="114"/>
      <c r="G619" s="261"/>
    </row>
    <row r="620" spans="1:7" s="81" customFormat="1" ht="50.25" customHeight="1">
      <c r="A620" s="110" t="s">
        <v>9</v>
      </c>
      <c r="B620" s="111" t="s">
        <v>167</v>
      </c>
      <c r="C620" s="249"/>
      <c r="D620" s="114" t="s">
        <v>9</v>
      </c>
      <c r="E620" s="114"/>
      <c r="F620" s="114"/>
      <c r="G620" s="261"/>
    </row>
    <row r="621" spans="1:7" s="81" customFormat="1" ht="25.5">
      <c r="A621" s="110"/>
      <c r="B621" s="111" t="s">
        <v>170</v>
      </c>
      <c r="C621" s="249"/>
      <c r="D621" s="114"/>
      <c r="E621" s="114"/>
      <c r="F621" s="114"/>
      <c r="G621" s="261"/>
    </row>
    <row r="622" spans="1:7" s="81" customFormat="1">
      <c r="A622" s="110"/>
      <c r="B622" s="120" t="s">
        <v>378</v>
      </c>
      <c r="C622" s="249"/>
      <c r="D622" s="114"/>
      <c r="E622" s="114"/>
      <c r="F622" s="114"/>
      <c r="G622" s="261"/>
    </row>
    <row r="623" spans="1:7" s="81" customFormat="1" ht="13.5" customHeight="1">
      <c r="A623" s="110">
        <v>1</v>
      </c>
      <c r="B623" s="118" t="s">
        <v>364</v>
      </c>
      <c r="C623" s="249">
        <f>C296</f>
        <v>830.67600000000016</v>
      </c>
      <c r="D623" s="114" t="s">
        <v>39</v>
      </c>
      <c r="E623" s="264"/>
      <c r="F623" s="264"/>
      <c r="G623" s="262"/>
    </row>
    <row r="624" spans="1:7" s="81" customFormat="1" ht="13.5" customHeight="1">
      <c r="A624" s="110">
        <v>2</v>
      </c>
      <c r="B624" s="118" t="s">
        <v>365</v>
      </c>
      <c r="C624" s="249">
        <f t="shared" ref="C624:C627" si="3">C297</f>
        <v>819.45779999999991</v>
      </c>
      <c r="D624" s="114" t="s">
        <v>39</v>
      </c>
      <c r="E624" s="264"/>
      <c r="F624" s="264"/>
      <c r="G624" s="262"/>
    </row>
    <row r="625" spans="1:7" s="81" customFormat="1" ht="13.5" customHeight="1">
      <c r="A625" s="110">
        <v>3</v>
      </c>
      <c r="B625" s="118" t="s">
        <v>365</v>
      </c>
      <c r="C625" s="249">
        <f t="shared" si="3"/>
        <v>858.7278</v>
      </c>
      <c r="D625" s="114" t="s">
        <v>39</v>
      </c>
      <c r="E625" s="264"/>
      <c r="F625" s="264"/>
      <c r="G625" s="262"/>
    </row>
    <row r="626" spans="1:7" s="81" customFormat="1" ht="13.5" customHeight="1">
      <c r="A626" s="110">
        <v>4</v>
      </c>
      <c r="B626" s="118" t="s">
        <v>497</v>
      </c>
      <c r="C626" s="249">
        <f t="shared" si="3"/>
        <v>509.43369999999999</v>
      </c>
      <c r="D626" s="114" t="s">
        <v>39</v>
      </c>
      <c r="E626" s="264"/>
      <c r="F626" s="264"/>
      <c r="G626" s="262"/>
    </row>
    <row r="627" spans="1:7" s="81" customFormat="1" ht="13.5" customHeight="1">
      <c r="A627" s="110">
        <v>5</v>
      </c>
      <c r="B627" s="118" t="s">
        <v>498</v>
      </c>
      <c r="C627" s="249">
        <f t="shared" si="3"/>
        <v>236.642</v>
      </c>
      <c r="D627" s="114" t="s">
        <v>39</v>
      </c>
      <c r="E627" s="264"/>
      <c r="F627" s="264"/>
      <c r="G627" s="262"/>
    </row>
    <row r="628" spans="1:7" s="81" customFormat="1" ht="13.5" customHeight="1">
      <c r="A628" s="110"/>
      <c r="B628" s="118"/>
      <c r="C628" s="249"/>
      <c r="D628" s="114"/>
      <c r="E628" s="264"/>
      <c r="F628" s="264"/>
      <c r="G628" s="262"/>
    </row>
    <row r="629" spans="1:7" s="81" customFormat="1" ht="13.5" customHeight="1">
      <c r="A629" s="108"/>
      <c r="B629" s="120" t="s">
        <v>377</v>
      </c>
      <c r="C629" s="249"/>
      <c r="D629" s="114"/>
      <c r="E629" s="264"/>
      <c r="F629" s="264"/>
      <c r="G629" s="262"/>
    </row>
    <row r="630" spans="1:7" s="81" customFormat="1" ht="13.5" customHeight="1">
      <c r="A630" s="110">
        <v>1</v>
      </c>
      <c r="B630" s="118" t="s">
        <v>366</v>
      </c>
      <c r="C630" s="249">
        <f>C296</f>
        <v>830.67600000000016</v>
      </c>
      <c r="D630" s="114" t="s">
        <v>39</v>
      </c>
      <c r="E630" s="264"/>
      <c r="F630" s="264"/>
      <c r="G630" s="262"/>
    </row>
    <row r="631" spans="1:7" s="81" customFormat="1" ht="13.5" customHeight="1">
      <c r="A631" s="110">
        <v>2</v>
      </c>
      <c r="B631" s="118" t="s">
        <v>367</v>
      </c>
      <c r="C631" s="249">
        <f t="shared" ref="C631:C634" si="4">C297</f>
        <v>819.45779999999991</v>
      </c>
      <c r="D631" s="114" t="s">
        <v>39</v>
      </c>
      <c r="E631" s="264"/>
      <c r="F631" s="264"/>
      <c r="G631" s="262"/>
    </row>
    <row r="632" spans="1:7" s="81" customFormat="1" ht="13.5" customHeight="1">
      <c r="A632" s="110">
        <v>3</v>
      </c>
      <c r="B632" s="118" t="s">
        <v>496</v>
      </c>
      <c r="C632" s="249">
        <f t="shared" si="4"/>
        <v>858.7278</v>
      </c>
      <c r="D632" s="114" t="s">
        <v>39</v>
      </c>
      <c r="E632" s="264"/>
      <c r="F632" s="264"/>
      <c r="G632" s="262"/>
    </row>
    <row r="633" spans="1:7" s="81" customFormat="1" ht="13.5" customHeight="1">
      <c r="A633" s="110">
        <v>4</v>
      </c>
      <c r="B633" s="118" t="s">
        <v>499</v>
      </c>
      <c r="C633" s="249">
        <f t="shared" si="4"/>
        <v>509.43369999999999</v>
      </c>
      <c r="D633" s="114" t="s">
        <v>39</v>
      </c>
      <c r="E633" s="264"/>
      <c r="F633" s="264"/>
      <c r="G633" s="262"/>
    </row>
    <row r="634" spans="1:7" s="81" customFormat="1" ht="13.5" customHeight="1">
      <c r="A634" s="110">
        <v>5</v>
      </c>
      <c r="B634" s="118" t="s">
        <v>500</v>
      </c>
      <c r="C634" s="249">
        <f t="shared" si="4"/>
        <v>236.642</v>
      </c>
      <c r="D634" s="114" t="s">
        <v>39</v>
      </c>
      <c r="E634" s="264"/>
      <c r="F634" s="264"/>
      <c r="G634" s="262"/>
    </row>
    <row r="635" spans="1:7" s="81" customFormat="1" ht="13.5" customHeight="1">
      <c r="A635" s="110"/>
      <c r="B635" s="382"/>
      <c r="C635" s="249"/>
      <c r="D635" s="114"/>
      <c r="E635" s="264"/>
      <c r="F635" s="264"/>
      <c r="G635" s="262"/>
    </row>
    <row r="636" spans="1:7" s="81" customFormat="1" ht="13.5" customHeight="1">
      <c r="A636" s="110"/>
      <c r="B636" s="118"/>
      <c r="C636" s="249"/>
      <c r="D636" s="114"/>
      <c r="E636" s="264"/>
      <c r="F636" s="264"/>
      <c r="G636" s="262"/>
    </row>
    <row r="637" spans="1:7" s="81" customFormat="1" ht="13.5" customHeight="1">
      <c r="A637" s="108">
        <v>11.3</v>
      </c>
      <c r="B637" s="120" t="s">
        <v>71</v>
      </c>
      <c r="C637" s="249"/>
      <c r="D637" s="114"/>
      <c r="E637" s="264"/>
      <c r="F637" s="264"/>
      <c r="G637" s="262"/>
    </row>
    <row r="638" spans="1:7" s="81" customFormat="1" ht="25.5">
      <c r="A638" s="110"/>
      <c r="B638" s="111" t="s">
        <v>169</v>
      </c>
      <c r="C638" s="249"/>
      <c r="D638" s="114"/>
      <c r="E638" s="264"/>
      <c r="F638" s="264"/>
      <c r="G638" s="262"/>
    </row>
    <row r="639" spans="1:7" s="81" customFormat="1" ht="13.5" customHeight="1">
      <c r="A639" s="110">
        <v>1</v>
      </c>
      <c r="B639" s="118" t="s">
        <v>368</v>
      </c>
      <c r="C639" s="465">
        <v>1048.3399999999999</v>
      </c>
      <c r="D639" s="114" t="s">
        <v>39</v>
      </c>
      <c r="E639" s="264"/>
      <c r="F639" s="264"/>
      <c r="G639" s="262"/>
    </row>
    <row r="640" spans="1:7" s="81" customFormat="1" ht="13.5" customHeight="1">
      <c r="A640" s="110"/>
      <c r="B640" s="111"/>
      <c r="C640" s="265"/>
      <c r="D640" s="114"/>
      <c r="E640" s="264"/>
      <c r="F640" s="264"/>
      <c r="G640" s="262"/>
    </row>
    <row r="641" spans="1:7" s="81" customFormat="1" ht="13.5" customHeight="1">
      <c r="A641" s="110"/>
      <c r="B641" s="111"/>
      <c r="C641" s="265"/>
      <c r="D641" s="114"/>
      <c r="E641" s="264"/>
      <c r="F641" s="264"/>
      <c r="G641" s="262"/>
    </row>
    <row r="642" spans="1:7" s="81" customFormat="1" ht="13.5" customHeight="1">
      <c r="A642" s="110"/>
      <c r="B642" s="111"/>
      <c r="C642" s="265"/>
      <c r="D642" s="114"/>
      <c r="E642" s="114"/>
      <c r="F642" s="262"/>
      <c r="G642" s="261"/>
    </row>
    <row r="643" spans="1:7" s="81" customFormat="1" ht="13.5" customHeight="1">
      <c r="A643" s="110"/>
      <c r="B643" s="118"/>
      <c r="C643" s="265"/>
      <c r="D643" s="114"/>
      <c r="E643" s="114"/>
      <c r="F643" s="262"/>
      <c r="G643" s="261"/>
    </row>
    <row r="644" spans="1:7" s="81" customFormat="1" ht="13.5" customHeight="1">
      <c r="A644" s="110"/>
      <c r="B644" s="118"/>
      <c r="C644" s="265"/>
      <c r="D644" s="114"/>
      <c r="E644" s="114"/>
      <c r="F644" s="262"/>
      <c r="G644" s="261"/>
    </row>
    <row r="645" spans="1:7" s="81" customFormat="1" ht="13.5" customHeight="1">
      <c r="A645" s="110"/>
      <c r="B645" s="118"/>
      <c r="C645" s="265"/>
      <c r="D645" s="114"/>
      <c r="E645" s="114"/>
      <c r="F645" s="262"/>
      <c r="G645" s="261"/>
    </row>
    <row r="646" spans="1:7" s="81" customFormat="1" ht="13.5" customHeight="1">
      <c r="A646" s="110"/>
      <c r="B646" s="118"/>
      <c r="C646" s="265"/>
      <c r="D646" s="114"/>
      <c r="E646" s="114"/>
      <c r="F646" s="262"/>
      <c r="G646" s="261"/>
    </row>
    <row r="647" spans="1:7" s="81" customFormat="1" ht="13.5" customHeight="1">
      <c r="A647" s="110"/>
      <c r="B647" s="118"/>
      <c r="C647" s="265"/>
      <c r="D647" s="114"/>
      <c r="E647" s="114"/>
      <c r="F647" s="262"/>
      <c r="G647" s="261"/>
    </row>
    <row r="648" spans="1:7" s="81" customFormat="1" ht="13.5" customHeight="1">
      <c r="A648" s="110"/>
      <c r="B648" s="118"/>
      <c r="C648" s="265"/>
      <c r="D648" s="114"/>
      <c r="E648" s="114"/>
      <c r="F648" s="262"/>
      <c r="G648" s="261"/>
    </row>
    <row r="649" spans="1:7" s="81" customFormat="1" ht="13.5" customHeight="1">
      <c r="A649" s="110"/>
      <c r="B649" s="118"/>
      <c r="C649" s="265"/>
      <c r="D649" s="114"/>
      <c r="E649" s="114"/>
      <c r="F649" s="262"/>
      <c r="G649" s="261"/>
    </row>
    <row r="650" spans="1:7" s="81" customFormat="1" ht="13.5" customHeight="1">
      <c r="A650" s="110"/>
      <c r="B650" s="118"/>
      <c r="C650" s="265"/>
      <c r="D650" s="114"/>
      <c r="E650" s="114"/>
      <c r="F650" s="262"/>
      <c r="G650" s="261"/>
    </row>
    <row r="651" spans="1:7" s="81" customFormat="1">
      <c r="A651" s="374"/>
      <c r="B651" s="369" t="s">
        <v>521</v>
      </c>
      <c r="C651" s="393"/>
      <c r="D651" s="348"/>
      <c r="E651" s="256"/>
      <c r="F651" s="256"/>
      <c r="G651" s="256"/>
    </row>
    <row r="652" spans="1:7" s="70" customFormat="1">
      <c r="A652" s="463"/>
      <c r="B652" s="499" t="s">
        <v>90</v>
      </c>
      <c r="C652" s="499"/>
      <c r="D652" s="466"/>
      <c r="E652" s="371"/>
      <c r="F652" s="371"/>
      <c r="G652" s="371"/>
    </row>
    <row r="653" spans="1:7" s="81" customFormat="1">
      <c r="A653" s="394"/>
      <c r="B653" s="400" t="s">
        <v>507</v>
      </c>
      <c r="C653" s="395"/>
      <c r="D653" s="399"/>
      <c r="E653" s="399"/>
      <c r="F653" s="399"/>
      <c r="G653" s="324"/>
    </row>
    <row r="654" spans="1:7" s="125" customFormat="1">
      <c r="A654" s="438"/>
      <c r="B654" s="467" t="s">
        <v>8</v>
      </c>
      <c r="C654" s="439"/>
      <c r="D654" s="440"/>
      <c r="E654" s="440"/>
      <c r="F654" s="440"/>
      <c r="G654" s="349"/>
    </row>
    <row r="655" spans="1:7" s="125" customFormat="1">
      <c r="A655" s="108">
        <v>12.1</v>
      </c>
      <c r="B655" s="117" t="s">
        <v>25</v>
      </c>
      <c r="C655" s="273"/>
      <c r="D655" s="441"/>
      <c r="E655" s="441"/>
      <c r="F655" s="441"/>
      <c r="G655" s="262"/>
    </row>
    <row r="656" spans="1:7" s="125" customFormat="1" ht="57.75" customHeight="1">
      <c r="A656" s="248"/>
      <c r="B656" s="118" t="s">
        <v>75</v>
      </c>
      <c r="C656" s="273"/>
      <c r="D656" s="264"/>
      <c r="E656" s="264"/>
      <c r="F656" s="264"/>
      <c r="G656" s="262"/>
    </row>
    <row r="657" spans="1:7" s="125" customFormat="1" ht="63.75">
      <c r="A657" s="248"/>
      <c r="B657" s="118" t="s">
        <v>76</v>
      </c>
      <c r="C657" s="273"/>
      <c r="D657" s="264"/>
      <c r="E657" s="264"/>
      <c r="F657" s="264"/>
      <c r="G657" s="262"/>
    </row>
    <row r="658" spans="1:7" s="125" customFormat="1" ht="38.25">
      <c r="A658" s="248"/>
      <c r="B658" s="118" t="s">
        <v>77</v>
      </c>
      <c r="C658" s="273"/>
      <c r="D658" s="264"/>
      <c r="E658" s="264"/>
      <c r="F658" s="264"/>
      <c r="G658" s="262"/>
    </row>
    <row r="659" spans="1:7" s="125" customFormat="1" ht="25.5">
      <c r="A659" s="248"/>
      <c r="B659" s="118" t="s">
        <v>78</v>
      </c>
      <c r="C659" s="273"/>
      <c r="D659" s="264"/>
      <c r="E659" s="264"/>
      <c r="F659" s="264"/>
      <c r="G659" s="262"/>
    </row>
    <row r="660" spans="1:7" s="125" customFormat="1" ht="57.75" customHeight="1">
      <c r="A660" s="248"/>
      <c r="B660" s="118" t="s">
        <v>79</v>
      </c>
      <c r="C660" s="273"/>
      <c r="D660" s="264"/>
      <c r="E660" s="264"/>
      <c r="F660" s="264"/>
      <c r="G660" s="262"/>
    </row>
    <row r="661" spans="1:7" s="125" customFormat="1" ht="25.5">
      <c r="A661" s="248"/>
      <c r="B661" s="118" t="s">
        <v>80</v>
      </c>
      <c r="C661" s="273"/>
      <c r="D661" s="264"/>
      <c r="E661" s="264"/>
      <c r="F661" s="264"/>
      <c r="G661" s="262"/>
    </row>
    <row r="662" spans="1:7" s="125" customFormat="1">
      <c r="A662" s="248"/>
      <c r="B662" s="118" t="s">
        <v>81</v>
      </c>
      <c r="C662" s="273"/>
      <c r="D662" s="264"/>
      <c r="E662" s="264"/>
      <c r="F662" s="264"/>
      <c r="G662" s="262"/>
    </row>
    <row r="663" spans="1:7" s="125" customFormat="1">
      <c r="A663" s="248"/>
      <c r="B663" s="118"/>
      <c r="C663" s="273"/>
      <c r="D663" s="264"/>
      <c r="E663" s="264"/>
      <c r="F663" s="264"/>
      <c r="G663" s="262"/>
    </row>
    <row r="664" spans="1:7" s="125" customFormat="1">
      <c r="A664" s="108">
        <v>12.2</v>
      </c>
      <c r="B664" s="117" t="s">
        <v>82</v>
      </c>
      <c r="C664" s="273"/>
      <c r="D664" s="264"/>
      <c r="E664" s="264"/>
      <c r="F664" s="264"/>
      <c r="G664" s="262"/>
    </row>
    <row r="665" spans="1:7" s="125" customFormat="1" ht="38.25">
      <c r="A665" s="461"/>
      <c r="B665" s="375" t="s">
        <v>83</v>
      </c>
      <c r="C665" s="273"/>
      <c r="D665" s="441"/>
      <c r="E665" s="441"/>
      <c r="F665" s="441"/>
      <c r="G665" s="262"/>
    </row>
    <row r="666" spans="1:7" s="125" customFormat="1">
      <c r="A666" s="376">
        <v>1</v>
      </c>
      <c r="B666" s="375" t="s">
        <v>222</v>
      </c>
      <c r="C666" s="273">
        <v>3</v>
      </c>
      <c r="D666" s="264" t="s">
        <v>16</v>
      </c>
      <c r="E666" s="264"/>
      <c r="F666" s="264"/>
      <c r="G666" s="262"/>
    </row>
    <row r="667" spans="1:7" s="125" customFormat="1">
      <c r="A667" s="376"/>
      <c r="B667" s="375"/>
      <c r="C667" s="273"/>
      <c r="D667" s="264"/>
      <c r="E667" s="264"/>
      <c r="F667" s="264"/>
      <c r="G667" s="262"/>
    </row>
    <row r="668" spans="1:7" s="125" customFormat="1">
      <c r="A668" s="376"/>
      <c r="B668" s="375"/>
      <c r="C668" s="273"/>
      <c r="D668" s="264"/>
      <c r="E668" s="264"/>
      <c r="F668" s="264"/>
      <c r="G668" s="262"/>
    </row>
    <row r="669" spans="1:7" s="125" customFormat="1">
      <c r="A669" s="108">
        <v>12.3</v>
      </c>
      <c r="B669" s="117" t="s">
        <v>84</v>
      </c>
      <c r="C669" s="273"/>
      <c r="D669" s="264"/>
      <c r="E669" s="264"/>
      <c r="F669" s="264"/>
      <c r="G669" s="262"/>
    </row>
    <row r="670" spans="1:7" s="125" customFormat="1" ht="38.25">
      <c r="A670" s="376"/>
      <c r="B670" s="375" t="s">
        <v>95</v>
      </c>
      <c r="C670" s="273"/>
      <c r="D670" s="264"/>
      <c r="E670" s="264"/>
      <c r="F670" s="264"/>
      <c r="G670" s="262"/>
    </row>
    <row r="671" spans="1:7" s="125" customFormat="1">
      <c r="A671" s="376">
        <v>1</v>
      </c>
      <c r="B671" s="375" t="s">
        <v>85</v>
      </c>
      <c r="C671" s="273">
        <f>C676+C678+C679+C680+C681+C682+C683</f>
        <v>210</v>
      </c>
      <c r="D671" s="264" t="s">
        <v>86</v>
      </c>
      <c r="E671" s="264"/>
      <c r="F671" s="264"/>
      <c r="G671" s="262"/>
    </row>
    <row r="672" spans="1:7" s="125" customFormat="1">
      <c r="A672" s="376">
        <v>2</v>
      </c>
      <c r="B672" s="375" t="s">
        <v>87</v>
      </c>
      <c r="C672" s="273">
        <f>C687+C688+C689+C690</f>
        <v>149</v>
      </c>
      <c r="D672" s="264" t="s">
        <v>86</v>
      </c>
      <c r="E672" s="264"/>
      <c r="F672" s="264"/>
      <c r="G672" s="262"/>
    </row>
    <row r="673" spans="1:7" s="125" customFormat="1">
      <c r="A673" s="376">
        <v>3</v>
      </c>
      <c r="B673" s="375" t="s">
        <v>88</v>
      </c>
      <c r="C673" s="273">
        <v>3</v>
      </c>
      <c r="D673" s="264" t="s">
        <v>166</v>
      </c>
      <c r="E673" s="264"/>
      <c r="F673" s="264"/>
      <c r="G673" s="262"/>
    </row>
    <row r="674" spans="1:7" s="125" customFormat="1" ht="12" customHeight="1">
      <c r="A674" s="376"/>
      <c r="B674" s="118"/>
      <c r="C674" s="273"/>
      <c r="D674" s="264"/>
      <c r="E674" s="264"/>
      <c r="F674" s="264"/>
      <c r="G674" s="262"/>
    </row>
    <row r="675" spans="1:7" s="125" customFormat="1">
      <c r="A675" s="108">
        <v>12.4</v>
      </c>
      <c r="B675" s="109" t="s">
        <v>89</v>
      </c>
      <c r="C675" s="273"/>
      <c r="D675" s="264"/>
      <c r="E675" s="264"/>
      <c r="F675" s="264"/>
      <c r="G675" s="262"/>
    </row>
    <row r="676" spans="1:7" s="125" customFormat="1">
      <c r="A676" s="376">
        <v>1</v>
      </c>
      <c r="B676" s="118" t="s">
        <v>295</v>
      </c>
      <c r="C676" s="273"/>
      <c r="D676" s="264" t="s">
        <v>166</v>
      </c>
      <c r="E676" s="264"/>
      <c r="F676" s="264"/>
      <c r="G676" s="262"/>
    </row>
    <row r="677" spans="1:7" s="125" customFormat="1">
      <c r="A677" s="376">
        <v>2</v>
      </c>
      <c r="B677" s="118" t="s">
        <v>145</v>
      </c>
      <c r="C677" s="273"/>
      <c r="D677" s="264" t="s">
        <v>166</v>
      </c>
      <c r="E677" s="264"/>
      <c r="F677" s="264"/>
      <c r="G677" s="262"/>
    </row>
    <row r="678" spans="1:7" s="125" customFormat="1">
      <c r="A678" s="376">
        <v>4</v>
      </c>
      <c r="B678" s="118" t="s">
        <v>421</v>
      </c>
      <c r="C678" s="273">
        <f>C676*2</f>
        <v>0</v>
      </c>
      <c r="D678" s="264" t="s">
        <v>166</v>
      </c>
      <c r="E678" s="264"/>
      <c r="F678" s="264"/>
      <c r="G678" s="262"/>
    </row>
    <row r="679" spans="1:7" s="125" customFormat="1">
      <c r="A679" s="376">
        <v>5</v>
      </c>
      <c r="B679" s="118" t="s">
        <v>390</v>
      </c>
      <c r="C679" s="273">
        <f>46+50+59+14</f>
        <v>169</v>
      </c>
      <c r="D679" s="264" t="s">
        <v>166</v>
      </c>
      <c r="E679" s="264"/>
      <c r="F679" s="264"/>
      <c r="G679" s="262"/>
    </row>
    <row r="680" spans="1:7" s="125" customFormat="1">
      <c r="A680" s="376">
        <v>6</v>
      </c>
      <c r="B680" s="118" t="s">
        <v>379</v>
      </c>
      <c r="C680" s="273">
        <v>4</v>
      </c>
      <c r="D680" s="264" t="s">
        <v>166</v>
      </c>
      <c r="E680" s="264"/>
      <c r="F680" s="264"/>
      <c r="G680" s="262"/>
    </row>
    <row r="681" spans="1:7" s="125" customFormat="1">
      <c r="A681" s="376">
        <v>7</v>
      </c>
      <c r="B681" s="118" t="s">
        <v>294</v>
      </c>
      <c r="C681" s="273">
        <v>18</v>
      </c>
      <c r="D681" s="264" t="s">
        <v>166</v>
      </c>
      <c r="E681" s="264"/>
      <c r="F681" s="264"/>
      <c r="G681" s="262"/>
    </row>
    <row r="682" spans="1:7" s="125" customFormat="1">
      <c r="A682" s="376">
        <v>8</v>
      </c>
      <c r="B682" s="118" t="s">
        <v>369</v>
      </c>
      <c r="C682" s="273">
        <v>19</v>
      </c>
      <c r="D682" s="264" t="s">
        <v>166</v>
      </c>
      <c r="E682" s="264"/>
      <c r="F682" s="264"/>
      <c r="G682" s="262"/>
    </row>
    <row r="683" spans="1:7" s="125" customFormat="1">
      <c r="A683" s="376">
        <v>9</v>
      </c>
      <c r="B683" s="118" t="s">
        <v>380</v>
      </c>
      <c r="C683" s="273">
        <v>0</v>
      </c>
      <c r="D683" s="264" t="s">
        <v>166</v>
      </c>
      <c r="E683" s="264"/>
      <c r="F683" s="264"/>
      <c r="G683" s="262"/>
    </row>
    <row r="684" spans="1:7" s="125" customFormat="1">
      <c r="A684" s="376">
        <v>10</v>
      </c>
      <c r="B684" s="118" t="s">
        <v>291</v>
      </c>
      <c r="C684" s="273">
        <f>C678+C679</f>
        <v>169</v>
      </c>
      <c r="D684" s="264" t="s">
        <v>166</v>
      </c>
      <c r="E684" s="264"/>
      <c r="F684" s="264"/>
      <c r="G684" s="262"/>
    </row>
    <row r="685" spans="1:7" s="125" customFormat="1">
      <c r="A685" s="376">
        <v>11</v>
      </c>
      <c r="B685" s="118" t="s">
        <v>292</v>
      </c>
      <c r="C685" s="273">
        <f>C682+C681+C683</f>
        <v>37</v>
      </c>
      <c r="D685" s="264" t="s">
        <v>166</v>
      </c>
      <c r="E685" s="264"/>
      <c r="F685" s="264"/>
      <c r="G685" s="262"/>
    </row>
    <row r="686" spans="1:7" s="125" customFormat="1">
      <c r="A686" s="376">
        <v>12</v>
      </c>
      <c r="B686" s="118" t="s">
        <v>293</v>
      </c>
      <c r="C686" s="273">
        <v>8</v>
      </c>
      <c r="D686" s="264" t="s">
        <v>166</v>
      </c>
      <c r="E686" s="264"/>
      <c r="F686" s="264"/>
      <c r="G686" s="262"/>
    </row>
    <row r="687" spans="1:7" s="125" customFormat="1">
      <c r="A687" s="376">
        <v>13</v>
      </c>
      <c r="B687" s="118" t="s">
        <v>265</v>
      </c>
      <c r="C687" s="273">
        <v>10</v>
      </c>
      <c r="D687" s="264" t="s">
        <v>166</v>
      </c>
      <c r="E687" s="264"/>
      <c r="F687" s="264"/>
      <c r="G687" s="262"/>
    </row>
    <row r="688" spans="1:7" s="125" customFormat="1">
      <c r="A688" s="376">
        <v>14</v>
      </c>
      <c r="B688" s="118" t="s">
        <v>266</v>
      </c>
      <c r="C688" s="273">
        <f>16+43+36+5</f>
        <v>100</v>
      </c>
      <c r="D688" s="264" t="s">
        <v>166</v>
      </c>
      <c r="E688" s="264"/>
      <c r="F688" s="264"/>
      <c r="G688" s="262"/>
    </row>
    <row r="689" spans="1:7" s="125" customFormat="1">
      <c r="A689" s="376">
        <v>15</v>
      </c>
      <c r="B689" s="118" t="s">
        <v>296</v>
      </c>
      <c r="C689" s="273">
        <f>8+13+10+1</f>
        <v>32</v>
      </c>
      <c r="D689" s="264" t="s">
        <v>166</v>
      </c>
      <c r="E689" s="264"/>
      <c r="F689" s="264"/>
      <c r="G689" s="262"/>
    </row>
    <row r="690" spans="1:7" s="125" customFormat="1" ht="25.5">
      <c r="A690" s="376">
        <v>16</v>
      </c>
      <c r="B690" s="118" t="s">
        <v>267</v>
      </c>
      <c r="C690" s="273">
        <v>7</v>
      </c>
      <c r="D690" s="264" t="s">
        <v>166</v>
      </c>
      <c r="E690" s="264"/>
      <c r="F690" s="264"/>
      <c r="G690" s="262"/>
    </row>
    <row r="691" spans="1:7" s="125" customFormat="1" ht="12" customHeight="1">
      <c r="A691" s="376">
        <v>19</v>
      </c>
      <c r="B691" s="118" t="s">
        <v>423</v>
      </c>
      <c r="C691" s="273">
        <v>4</v>
      </c>
      <c r="D691" s="264" t="s">
        <v>166</v>
      </c>
      <c r="E691" s="264"/>
      <c r="F691" s="264"/>
      <c r="G691" s="262"/>
    </row>
    <row r="692" spans="1:7" s="125" customFormat="1">
      <c r="A692" s="376">
        <v>20</v>
      </c>
      <c r="B692" s="468" t="s">
        <v>422</v>
      </c>
      <c r="C692" s="273">
        <v>4</v>
      </c>
      <c r="D692" s="264" t="s">
        <v>166</v>
      </c>
      <c r="E692" s="264"/>
      <c r="F692" s="264"/>
      <c r="G692" s="262"/>
    </row>
    <row r="693" spans="1:7" s="125" customFormat="1">
      <c r="A693" s="376"/>
      <c r="B693" s="118"/>
      <c r="C693" s="273"/>
      <c r="D693" s="264"/>
      <c r="E693" s="264"/>
      <c r="F693" s="264"/>
      <c r="G693" s="262"/>
    </row>
    <row r="694" spans="1:7" s="125" customFormat="1">
      <c r="A694" s="425"/>
      <c r="B694" s="469"/>
      <c r="C694" s="273"/>
      <c r="D694" s="264"/>
      <c r="E694" s="264"/>
      <c r="F694" s="264"/>
      <c r="G694" s="262"/>
    </row>
    <row r="695" spans="1:7" s="125" customFormat="1">
      <c r="A695" s="376"/>
      <c r="B695" s="422"/>
      <c r="C695" s="273"/>
      <c r="D695" s="264"/>
      <c r="E695" s="264"/>
      <c r="F695" s="264"/>
      <c r="G695" s="262"/>
    </row>
    <row r="696" spans="1:7" s="125" customFormat="1">
      <c r="A696" s="108">
        <v>12.5</v>
      </c>
      <c r="B696" s="109" t="s">
        <v>424</v>
      </c>
      <c r="C696" s="273"/>
      <c r="D696" s="264"/>
      <c r="E696" s="264"/>
      <c r="F696" s="264"/>
      <c r="G696" s="262"/>
    </row>
    <row r="697" spans="1:7" s="125" customFormat="1">
      <c r="A697" s="376">
        <v>1</v>
      </c>
      <c r="B697" s="118" t="s">
        <v>425</v>
      </c>
      <c r="C697" s="273">
        <f>10+13+1</f>
        <v>24</v>
      </c>
      <c r="D697" s="264" t="s">
        <v>166</v>
      </c>
      <c r="E697" s="264"/>
      <c r="F697" s="264"/>
      <c r="G697" s="262"/>
    </row>
    <row r="698" spans="1:7" s="125" customFormat="1">
      <c r="A698" s="376">
        <v>2</v>
      </c>
      <c r="B698" s="118" t="s">
        <v>501</v>
      </c>
      <c r="C698" s="273">
        <v>7</v>
      </c>
      <c r="D698" s="264" t="s">
        <v>166</v>
      </c>
      <c r="E698" s="264"/>
      <c r="F698" s="264"/>
      <c r="G698" s="262"/>
    </row>
    <row r="699" spans="1:7" s="125" customFormat="1">
      <c r="A699" s="376"/>
      <c r="B699" s="468"/>
      <c r="C699" s="273"/>
      <c r="D699" s="264"/>
      <c r="E699" s="264"/>
      <c r="F699" s="262"/>
      <c r="G699" s="262"/>
    </row>
    <row r="700" spans="1:7" s="125" customFormat="1">
      <c r="A700" s="376"/>
      <c r="B700" s="468"/>
      <c r="C700" s="273"/>
      <c r="D700" s="264"/>
      <c r="E700" s="264"/>
      <c r="F700" s="262"/>
      <c r="G700" s="262"/>
    </row>
    <row r="701" spans="1:7" s="125" customFormat="1">
      <c r="A701" s="376"/>
      <c r="B701" s="468"/>
      <c r="C701" s="273"/>
      <c r="D701" s="264"/>
      <c r="E701" s="264"/>
      <c r="F701" s="262"/>
      <c r="G701" s="262"/>
    </row>
    <row r="702" spans="1:7" s="125" customFormat="1">
      <c r="A702" s="376"/>
      <c r="B702" s="468"/>
      <c r="C702" s="273"/>
      <c r="D702" s="264"/>
      <c r="E702" s="264"/>
      <c r="F702" s="262"/>
      <c r="G702" s="262"/>
    </row>
    <row r="703" spans="1:7" s="125" customFormat="1">
      <c r="A703" s="376"/>
      <c r="B703" s="468"/>
      <c r="C703" s="273"/>
      <c r="D703" s="264"/>
      <c r="E703" s="264"/>
      <c r="F703" s="262"/>
      <c r="G703" s="262"/>
    </row>
    <row r="704" spans="1:7" s="125" customFormat="1">
      <c r="A704" s="376"/>
      <c r="B704" s="468"/>
      <c r="C704" s="273"/>
      <c r="D704" s="264"/>
      <c r="E704" s="264"/>
      <c r="F704" s="262"/>
      <c r="G704" s="262"/>
    </row>
    <row r="705" spans="1:7" s="125" customFormat="1">
      <c r="A705" s="376"/>
      <c r="B705" s="468"/>
      <c r="C705" s="273"/>
      <c r="D705" s="264"/>
      <c r="E705" s="264"/>
      <c r="F705" s="262"/>
      <c r="G705" s="262"/>
    </row>
    <row r="706" spans="1:7" s="125" customFormat="1">
      <c r="A706" s="376"/>
      <c r="B706" s="468"/>
      <c r="C706" s="273"/>
      <c r="D706" s="264"/>
      <c r="E706" s="264"/>
      <c r="F706" s="262"/>
      <c r="G706" s="262"/>
    </row>
    <row r="707" spans="1:7" s="125" customFormat="1">
      <c r="A707" s="376"/>
      <c r="B707" s="468"/>
      <c r="C707" s="273"/>
      <c r="D707" s="264"/>
      <c r="E707" s="264"/>
      <c r="F707" s="262"/>
      <c r="G707" s="262"/>
    </row>
    <row r="708" spans="1:7" s="125" customFormat="1">
      <c r="A708" s="376"/>
      <c r="B708" s="468"/>
      <c r="C708" s="273"/>
      <c r="D708" s="264"/>
      <c r="E708" s="264"/>
      <c r="F708" s="262"/>
      <c r="G708" s="262"/>
    </row>
    <row r="709" spans="1:7" s="125" customFormat="1">
      <c r="A709" s="376"/>
      <c r="B709" s="468"/>
      <c r="C709" s="273"/>
      <c r="D709" s="264"/>
      <c r="E709" s="264"/>
      <c r="F709" s="262"/>
      <c r="G709" s="262"/>
    </row>
    <row r="710" spans="1:7" s="125" customFormat="1">
      <c r="A710" s="376"/>
      <c r="B710" s="468"/>
      <c r="C710" s="273"/>
      <c r="D710" s="264"/>
      <c r="E710" s="264"/>
      <c r="F710" s="262"/>
      <c r="G710" s="262"/>
    </row>
    <row r="711" spans="1:7" s="125" customFormat="1">
      <c r="A711" s="376"/>
      <c r="B711" s="468"/>
      <c r="C711" s="273"/>
      <c r="D711" s="264"/>
      <c r="E711" s="264"/>
      <c r="F711" s="262"/>
      <c r="G711" s="262"/>
    </row>
    <row r="712" spans="1:7" s="125" customFormat="1">
      <c r="A712" s="376"/>
      <c r="B712" s="468"/>
      <c r="C712" s="273"/>
      <c r="D712" s="264"/>
      <c r="E712" s="264"/>
      <c r="F712" s="262"/>
      <c r="G712" s="262"/>
    </row>
    <row r="713" spans="1:7" s="125" customFormat="1">
      <c r="A713" s="376"/>
      <c r="B713" s="468"/>
      <c r="C713" s="273"/>
      <c r="D713" s="264"/>
      <c r="E713" s="264"/>
      <c r="F713" s="262"/>
      <c r="G713" s="262"/>
    </row>
    <row r="714" spans="1:7" s="125" customFormat="1">
      <c r="A714" s="376"/>
      <c r="B714" s="468"/>
      <c r="C714" s="273"/>
      <c r="D714" s="264"/>
      <c r="E714" s="264"/>
      <c r="F714" s="262"/>
      <c r="G714" s="262"/>
    </row>
    <row r="715" spans="1:7" s="125" customFormat="1">
      <c r="A715" s="376"/>
      <c r="B715" s="468"/>
      <c r="C715" s="273"/>
      <c r="D715" s="264"/>
      <c r="E715" s="264"/>
      <c r="F715" s="262"/>
      <c r="G715" s="262"/>
    </row>
    <row r="716" spans="1:7" s="125" customFormat="1">
      <c r="A716" s="376"/>
      <c r="B716" s="468"/>
      <c r="C716" s="273"/>
      <c r="D716" s="264"/>
      <c r="E716" s="264"/>
      <c r="F716" s="262"/>
      <c r="G716" s="262"/>
    </row>
    <row r="717" spans="1:7" s="125" customFormat="1">
      <c r="A717" s="376"/>
      <c r="B717" s="468"/>
      <c r="C717" s="273"/>
      <c r="D717" s="264"/>
      <c r="E717" s="264"/>
      <c r="F717" s="262"/>
      <c r="G717" s="262"/>
    </row>
    <row r="718" spans="1:7" s="125" customFormat="1">
      <c r="A718" s="376"/>
      <c r="B718" s="468"/>
      <c r="C718" s="273"/>
      <c r="D718" s="264"/>
      <c r="E718" s="264"/>
      <c r="F718" s="262"/>
      <c r="G718" s="262"/>
    </row>
    <row r="719" spans="1:7" s="81" customFormat="1" ht="14.25">
      <c r="A719" s="376"/>
      <c r="B719" s="470"/>
      <c r="C719" s="273"/>
      <c r="D719" s="264"/>
      <c r="E719" s="264"/>
      <c r="F719" s="262"/>
      <c r="G719" s="262"/>
    </row>
    <row r="720" spans="1:7" s="81" customFormat="1" ht="14.25">
      <c r="A720" s="376"/>
      <c r="B720" s="470"/>
      <c r="C720" s="273"/>
      <c r="D720" s="264"/>
      <c r="E720" s="264"/>
      <c r="F720" s="262"/>
      <c r="G720" s="262"/>
    </row>
    <row r="721" spans="1:7" s="81" customFormat="1" ht="14.25">
      <c r="A721" s="376"/>
      <c r="B721" s="470"/>
      <c r="C721" s="273"/>
      <c r="D721" s="264"/>
      <c r="E721" s="264"/>
      <c r="F721" s="262"/>
      <c r="G721" s="262"/>
    </row>
    <row r="722" spans="1:7" s="81" customFormat="1" ht="14.25">
      <c r="A722" s="376"/>
      <c r="B722" s="470"/>
      <c r="C722" s="273"/>
      <c r="D722" s="264"/>
      <c r="E722" s="264"/>
      <c r="F722" s="262"/>
      <c r="G722" s="262"/>
    </row>
    <row r="723" spans="1:7" s="81" customFormat="1" ht="14.25">
      <c r="A723" s="376"/>
      <c r="B723" s="470"/>
      <c r="C723" s="273"/>
      <c r="D723" s="264"/>
      <c r="E723" s="264"/>
      <c r="F723" s="262"/>
      <c r="G723" s="262"/>
    </row>
    <row r="724" spans="1:7" s="81" customFormat="1" ht="14.25">
      <c r="A724" s="376"/>
      <c r="B724" s="470"/>
      <c r="C724" s="273"/>
      <c r="D724" s="264"/>
      <c r="E724" s="264"/>
      <c r="F724" s="264"/>
      <c r="G724" s="262"/>
    </row>
    <row r="725" spans="1:7" s="81" customFormat="1" ht="14.25">
      <c r="A725" s="376"/>
      <c r="B725" s="470"/>
      <c r="C725" s="273"/>
      <c r="D725" s="264"/>
      <c r="E725" s="264"/>
      <c r="F725" s="264"/>
      <c r="G725" s="262"/>
    </row>
    <row r="726" spans="1:7" s="81" customFormat="1" ht="14.25">
      <c r="A726" s="376"/>
      <c r="B726" s="470"/>
      <c r="C726" s="273"/>
      <c r="D726" s="264"/>
      <c r="E726" s="264"/>
      <c r="F726" s="264"/>
      <c r="G726" s="262"/>
    </row>
    <row r="727" spans="1:7" s="81" customFormat="1" ht="14.25">
      <c r="A727" s="376"/>
      <c r="B727" s="470"/>
      <c r="C727" s="273"/>
      <c r="D727" s="264"/>
      <c r="E727" s="264"/>
      <c r="F727" s="264"/>
      <c r="G727" s="262"/>
    </row>
    <row r="728" spans="1:7" s="81" customFormat="1" ht="8.25" customHeight="1">
      <c r="A728" s="471"/>
      <c r="B728" s="472"/>
      <c r="C728" s="473"/>
      <c r="D728" s="474"/>
      <c r="E728" s="474"/>
      <c r="F728" s="474"/>
      <c r="G728" s="475"/>
    </row>
    <row r="729" spans="1:7" s="81" customFormat="1">
      <c r="A729" s="438"/>
      <c r="B729" s="500" t="s">
        <v>522</v>
      </c>
      <c r="C729" s="500"/>
      <c r="D729" s="476"/>
      <c r="E729" s="349"/>
      <c r="F729" s="349"/>
      <c r="G729" s="349"/>
    </row>
    <row r="730" spans="1:7" s="81" customFormat="1">
      <c r="A730" s="341"/>
      <c r="B730" s="497" t="s">
        <v>523</v>
      </c>
      <c r="C730" s="497"/>
      <c r="D730" s="342"/>
      <c r="E730" s="371"/>
      <c r="F730" s="371"/>
      <c r="G730" s="371"/>
    </row>
    <row r="731" spans="1:7" s="81" customFormat="1">
      <c r="A731" s="394"/>
      <c r="B731" s="400" t="s">
        <v>524</v>
      </c>
      <c r="C731" s="395"/>
      <c r="D731" s="399"/>
      <c r="E731" s="399"/>
      <c r="F731" s="399"/>
      <c r="G731" s="324"/>
    </row>
    <row r="732" spans="1:7" s="125" customFormat="1">
      <c r="A732" s="438"/>
      <c r="B732" s="467" t="s">
        <v>517</v>
      </c>
      <c r="C732" s="439"/>
      <c r="D732" s="440"/>
      <c r="E732" s="440"/>
      <c r="F732" s="440"/>
      <c r="G732" s="349"/>
    </row>
    <row r="733" spans="1:7" s="125" customFormat="1">
      <c r="A733" s="108">
        <v>13.1</v>
      </c>
      <c r="B733" s="117" t="s">
        <v>25</v>
      </c>
      <c r="C733" s="273"/>
      <c r="D733" s="441"/>
      <c r="E733" s="441"/>
      <c r="F733" s="441"/>
      <c r="G733" s="262"/>
    </row>
    <row r="734" spans="1:7" s="125" customFormat="1" ht="57.75" customHeight="1">
      <c r="A734" s="248"/>
      <c r="B734" s="118" t="s">
        <v>75</v>
      </c>
      <c r="C734" s="273"/>
      <c r="D734" s="264"/>
      <c r="E734" s="264"/>
      <c r="F734" s="264"/>
      <c r="G734" s="262"/>
    </row>
    <row r="735" spans="1:7" s="125" customFormat="1" ht="57.75" customHeight="1">
      <c r="A735" s="248"/>
      <c r="B735" s="118" t="s">
        <v>503</v>
      </c>
      <c r="C735" s="273"/>
      <c r="D735" s="264"/>
      <c r="E735" s="264"/>
      <c r="F735" s="264"/>
      <c r="G735" s="262"/>
    </row>
    <row r="736" spans="1:7" s="125" customFormat="1" ht="38.25">
      <c r="A736" s="248"/>
      <c r="B736" s="118" t="s">
        <v>504</v>
      </c>
      <c r="C736" s="273"/>
      <c r="D736" s="264"/>
      <c r="E736" s="264"/>
      <c r="F736" s="264"/>
      <c r="G736" s="262"/>
    </row>
    <row r="737" spans="1:7" s="125" customFormat="1" ht="25.5">
      <c r="A737" s="248"/>
      <c r="B737" s="118" t="s">
        <v>505</v>
      </c>
      <c r="C737" s="273"/>
      <c r="D737" s="264"/>
      <c r="E737" s="264"/>
      <c r="F737" s="264"/>
      <c r="G737" s="262"/>
    </row>
    <row r="738" spans="1:7" s="125" customFormat="1">
      <c r="A738" s="248"/>
      <c r="B738" s="118"/>
      <c r="C738" s="273"/>
      <c r="D738" s="264"/>
      <c r="E738" s="264"/>
      <c r="F738" s="264"/>
      <c r="G738" s="262"/>
    </row>
    <row r="739" spans="1:7" s="125" customFormat="1">
      <c r="A739" s="108">
        <v>13.2</v>
      </c>
      <c r="B739" s="117" t="s">
        <v>506</v>
      </c>
      <c r="C739" s="273"/>
      <c r="D739" s="264"/>
      <c r="E739" s="264"/>
      <c r="F739" s="264"/>
      <c r="G739" s="262"/>
    </row>
    <row r="740" spans="1:7" s="125" customFormat="1" ht="25.5">
      <c r="A740" s="376">
        <v>1</v>
      </c>
      <c r="B740" s="477" t="s">
        <v>508</v>
      </c>
      <c r="C740" s="273">
        <v>1</v>
      </c>
      <c r="D740" s="264" t="s">
        <v>513</v>
      </c>
      <c r="E740" s="264"/>
      <c r="F740" s="264"/>
      <c r="G740" s="262"/>
    </row>
    <row r="741" spans="1:7" s="125" customFormat="1">
      <c r="A741" s="376">
        <v>2</v>
      </c>
      <c r="B741" s="477" t="s">
        <v>509</v>
      </c>
      <c r="C741" s="273">
        <v>16</v>
      </c>
      <c r="D741" s="264" t="s">
        <v>513</v>
      </c>
      <c r="E741" s="264"/>
      <c r="F741" s="264"/>
      <c r="G741" s="262"/>
    </row>
    <row r="742" spans="1:7" s="125" customFormat="1" ht="25.5">
      <c r="A742" s="376">
        <v>3</v>
      </c>
      <c r="B742" s="477" t="s">
        <v>510</v>
      </c>
      <c r="C742" s="273">
        <v>6</v>
      </c>
      <c r="D742" s="264" t="s">
        <v>513</v>
      </c>
      <c r="E742" s="264"/>
      <c r="F742" s="264"/>
      <c r="G742" s="262"/>
    </row>
    <row r="743" spans="1:7" s="125" customFormat="1">
      <c r="A743" s="376">
        <v>4</v>
      </c>
      <c r="B743" s="477" t="s">
        <v>511</v>
      </c>
      <c r="C743" s="273">
        <v>4</v>
      </c>
      <c r="D743" s="264" t="s">
        <v>513</v>
      </c>
      <c r="E743" s="264"/>
      <c r="F743" s="264"/>
      <c r="G743" s="262"/>
    </row>
    <row r="744" spans="1:7" s="125" customFormat="1" ht="12" customHeight="1">
      <c r="A744" s="376">
        <v>5</v>
      </c>
      <c r="B744" s="477" t="s">
        <v>512</v>
      </c>
      <c r="C744" s="273">
        <v>4</v>
      </c>
      <c r="D744" s="264" t="s">
        <v>513</v>
      </c>
      <c r="E744" s="264"/>
      <c r="F744" s="264"/>
      <c r="G744" s="262"/>
    </row>
    <row r="745" spans="1:7" s="125" customFormat="1">
      <c r="A745" s="376"/>
      <c r="B745" s="468"/>
      <c r="C745" s="273"/>
      <c r="D745" s="264"/>
      <c r="E745" s="264"/>
      <c r="F745" s="264"/>
      <c r="G745" s="262"/>
    </row>
    <row r="746" spans="1:7" s="125" customFormat="1">
      <c r="A746" s="376"/>
      <c r="B746" s="468"/>
      <c r="C746" s="273"/>
      <c r="D746" s="264"/>
      <c r="E746" s="264"/>
      <c r="F746" s="264"/>
      <c r="G746" s="262"/>
    </row>
    <row r="747" spans="1:7" s="125" customFormat="1">
      <c r="A747" s="376"/>
      <c r="B747" s="478" t="s">
        <v>516</v>
      </c>
      <c r="C747" s="273"/>
      <c r="D747" s="264"/>
      <c r="E747" s="264"/>
      <c r="F747" s="264"/>
      <c r="G747" s="262"/>
    </row>
    <row r="748" spans="1:7" s="125" customFormat="1" ht="25.5">
      <c r="A748" s="376">
        <v>1</v>
      </c>
      <c r="B748" s="477" t="s">
        <v>514</v>
      </c>
      <c r="C748" s="273">
        <v>8</v>
      </c>
      <c r="D748" s="264" t="s">
        <v>513</v>
      </c>
      <c r="E748" s="264"/>
      <c r="F748" s="264"/>
      <c r="G748" s="262"/>
    </row>
    <row r="749" spans="1:7" s="125" customFormat="1" ht="25.5">
      <c r="A749" s="376">
        <v>2</v>
      </c>
      <c r="B749" s="477" t="s">
        <v>515</v>
      </c>
      <c r="C749" s="273">
        <v>8</v>
      </c>
      <c r="D749" s="264" t="s">
        <v>513</v>
      </c>
      <c r="E749" s="264"/>
      <c r="F749" s="264"/>
      <c r="G749" s="262"/>
    </row>
    <row r="750" spans="1:7" s="125" customFormat="1">
      <c r="A750" s="376"/>
      <c r="B750" s="468"/>
      <c r="C750" s="273"/>
      <c r="D750" s="264"/>
      <c r="E750" s="264"/>
      <c r="F750" s="262"/>
      <c r="G750" s="262"/>
    </row>
    <row r="751" spans="1:7" s="125" customFormat="1">
      <c r="A751" s="376"/>
      <c r="B751" s="468"/>
      <c r="C751" s="273"/>
      <c r="D751" s="264"/>
      <c r="E751" s="264"/>
      <c r="F751" s="262"/>
      <c r="G751" s="262"/>
    </row>
    <row r="752" spans="1:7" s="125" customFormat="1">
      <c r="A752" s="376"/>
      <c r="B752" s="468"/>
      <c r="C752" s="273"/>
      <c r="D752" s="264"/>
      <c r="E752" s="264"/>
      <c r="F752" s="262"/>
      <c r="G752" s="262"/>
    </row>
    <row r="753" spans="1:7" s="125" customFormat="1">
      <c r="A753" s="376"/>
      <c r="B753" s="468"/>
      <c r="C753" s="273"/>
      <c r="D753" s="264"/>
      <c r="E753" s="264"/>
      <c r="F753" s="262"/>
      <c r="G753" s="262"/>
    </row>
    <row r="754" spans="1:7" s="125" customFormat="1">
      <c r="A754" s="376"/>
      <c r="B754" s="468"/>
      <c r="C754" s="273"/>
      <c r="D754" s="264"/>
      <c r="E754" s="264"/>
      <c r="F754" s="262"/>
      <c r="G754" s="262"/>
    </row>
    <row r="755" spans="1:7" s="125" customFormat="1">
      <c r="A755" s="376"/>
      <c r="B755" s="468"/>
      <c r="C755" s="273"/>
      <c r="D755" s="264"/>
      <c r="E755" s="264"/>
      <c r="F755" s="262"/>
      <c r="G755" s="262"/>
    </row>
    <row r="756" spans="1:7" s="125" customFormat="1">
      <c r="A756" s="376"/>
      <c r="B756" s="468"/>
      <c r="C756" s="273"/>
      <c r="D756" s="264"/>
      <c r="E756" s="264"/>
      <c r="F756" s="262"/>
      <c r="G756" s="262"/>
    </row>
    <row r="757" spans="1:7" s="125" customFormat="1">
      <c r="A757" s="376"/>
      <c r="B757" s="468"/>
      <c r="C757" s="273"/>
      <c r="D757" s="264"/>
      <c r="E757" s="264"/>
      <c r="F757" s="262"/>
      <c r="G757" s="262"/>
    </row>
    <row r="758" spans="1:7" s="125" customFormat="1">
      <c r="A758" s="376"/>
      <c r="B758" s="468"/>
      <c r="C758" s="273"/>
      <c r="D758" s="264"/>
      <c r="E758" s="264"/>
      <c r="F758" s="262"/>
      <c r="G758" s="262"/>
    </row>
    <row r="759" spans="1:7" s="125" customFormat="1">
      <c r="A759" s="376"/>
      <c r="B759" s="468"/>
      <c r="C759" s="273"/>
      <c r="D759" s="264"/>
      <c r="E759" s="264"/>
      <c r="F759" s="262"/>
      <c r="G759" s="262"/>
    </row>
    <row r="760" spans="1:7" s="125" customFormat="1">
      <c r="A760" s="376"/>
      <c r="B760" s="468"/>
      <c r="C760" s="273"/>
      <c r="D760" s="264"/>
      <c r="E760" s="264"/>
      <c r="F760" s="262"/>
      <c r="G760" s="262"/>
    </row>
    <row r="761" spans="1:7" s="125" customFormat="1">
      <c r="A761" s="376"/>
      <c r="B761" s="468"/>
      <c r="C761" s="273"/>
      <c r="D761" s="264"/>
      <c r="E761" s="264"/>
      <c r="F761" s="262"/>
      <c r="G761" s="262"/>
    </row>
    <row r="762" spans="1:7" s="125" customFormat="1">
      <c r="A762" s="376"/>
      <c r="B762" s="468"/>
      <c r="C762" s="273"/>
      <c r="D762" s="264"/>
      <c r="E762" s="264"/>
      <c r="F762" s="262"/>
      <c r="G762" s="262"/>
    </row>
    <row r="763" spans="1:7" s="125" customFormat="1">
      <c r="A763" s="376"/>
      <c r="B763" s="468"/>
      <c r="C763" s="273"/>
      <c r="D763" s="264"/>
      <c r="E763" s="264"/>
      <c r="F763" s="262"/>
      <c r="G763" s="262"/>
    </row>
    <row r="764" spans="1:7" s="81" customFormat="1" ht="14.25">
      <c r="A764" s="376"/>
      <c r="B764" s="470"/>
      <c r="C764" s="273"/>
      <c r="D764" s="264"/>
      <c r="E764" s="264"/>
      <c r="F764" s="262"/>
      <c r="G764" s="262"/>
    </row>
    <row r="765" spans="1:7" s="81" customFormat="1" ht="14.25">
      <c r="A765" s="376"/>
      <c r="B765" s="470"/>
      <c r="C765" s="273"/>
      <c r="D765" s="264"/>
      <c r="E765" s="264"/>
      <c r="F765" s="262"/>
      <c r="G765" s="262"/>
    </row>
    <row r="766" spans="1:7" s="81" customFormat="1" ht="14.25">
      <c r="A766" s="376"/>
      <c r="B766" s="470"/>
      <c r="C766" s="273"/>
      <c r="D766" s="264"/>
      <c r="E766" s="264"/>
      <c r="F766" s="264"/>
      <c r="G766" s="262"/>
    </row>
    <row r="767" spans="1:7" s="81" customFormat="1" ht="8.25" customHeight="1">
      <c r="A767" s="471"/>
      <c r="B767" s="472"/>
      <c r="C767" s="473"/>
      <c r="D767" s="474"/>
      <c r="E767" s="474"/>
      <c r="F767" s="474"/>
      <c r="G767" s="475"/>
    </row>
    <row r="768" spans="1:7" s="81" customFormat="1" ht="12.75" customHeight="1">
      <c r="A768" s="438"/>
      <c r="B768" s="498" t="s">
        <v>518</v>
      </c>
      <c r="C768" s="498"/>
      <c r="D768" s="498"/>
      <c r="E768" s="349"/>
      <c r="F768" s="349"/>
      <c r="G768" s="349"/>
    </row>
    <row r="769" spans="1:9" s="81" customFormat="1">
      <c r="A769" s="341"/>
      <c r="B769" s="497" t="s">
        <v>519</v>
      </c>
      <c r="C769" s="497"/>
      <c r="D769" s="342"/>
      <c r="E769" s="371"/>
      <c r="F769" s="371"/>
      <c r="G769" s="371"/>
      <c r="I769" s="125"/>
    </row>
    <row r="770" spans="1:9">
      <c r="A770" s="178"/>
      <c r="B770" s="179"/>
      <c r="C770" s="267"/>
      <c r="D770" s="268"/>
      <c r="E770" s="268"/>
      <c r="G770" s="269"/>
    </row>
    <row r="773" spans="1:9">
      <c r="H773" s="302"/>
    </row>
  </sheetData>
  <protectedRanges>
    <protectedRange sqref="C444:C457 C461:C467" name="Range4_1_1"/>
  </protectedRanges>
  <mergeCells count="20">
    <mergeCell ref="B318:C318"/>
    <mergeCell ref="B360:C360"/>
    <mergeCell ref="B361:C361"/>
    <mergeCell ref="B49:C49"/>
    <mergeCell ref="B87:C87"/>
    <mergeCell ref="B101:B102"/>
    <mergeCell ref="B317:C317"/>
    <mergeCell ref="B278:D278"/>
    <mergeCell ref="B769:C769"/>
    <mergeCell ref="B768:D768"/>
    <mergeCell ref="B395:C395"/>
    <mergeCell ref="B396:C396"/>
    <mergeCell ref="B730:C730"/>
    <mergeCell ref="B611:C611"/>
    <mergeCell ref="B652:C652"/>
    <mergeCell ref="B482:C482"/>
    <mergeCell ref="B532:C532"/>
    <mergeCell ref="B610:C610"/>
    <mergeCell ref="B729:C729"/>
    <mergeCell ref="B434:C434"/>
  </mergeCells>
  <phoneticPr fontId="3" type="noConversion"/>
  <pageMargins left="0.7" right="0.7" top="0.75" bottom="0.75" header="0.3" footer="0.3"/>
  <pageSetup paperSize="9" scale="89" fitToHeight="0" orientation="portrait" r:id="rId1"/>
  <headerFooter differentFirst="1" alignWithMargins="0">
    <oddFooter xml:space="preserve">&amp;R&amp;F Page &amp;P </oddFooter>
  </headerFooter>
  <rowBreaks count="12" manualBreakCount="12">
    <brk id="49" max="16383" man="1"/>
    <brk id="87" max="16383" man="1"/>
    <brk id="278" max="16383" man="1"/>
    <brk id="318" max="16383" man="1"/>
    <brk id="361" max="16383" man="1"/>
    <brk id="396" max="16383" man="1"/>
    <brk id="434" max="16383" man="1"/>
    <brk id="482" max="16383" man="1"/>
    <brk id="532" max="16383" man="1"/>
    <brk id="611" max="16383" man="1"/>
    <brk id="652" max="16383" man="1"/>
    <brk id="730" max="16383" man="1"/>
  </rowBreaks>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26"/>
  <sheetViews>
    <sheetView view="pageBreakPreview" zoomScale="90" zoomScaleSheetLayoutView="90" workbookViewId="0">
      <selection activeCell="E10" sqref="E10"/>
    </sheetView>
  </sheetViews>
  <sheetFormatPr defaultColWidth="8.85546875" defaultRowHeight="201.75" customHeight="1"/>
  <cols>
    <col min="1" max="1" width="3" style="1" customWidth="1"/>
    <col min="2" max="2" width="10.140625" style="1" customWidth="1"/>
    <col min="3" max="3" width="11.140625" style="1" customWidth="1"/>
    <col min="4" max="4" width="11.7109375" style="1" customWidth="1"/>
    <col min="5" max="5" width="15" style="1" customWidth="1"/>
    <col min="6" max="7" width="12.7109375" style="1" customWidth="1"/>
    <col min="8" max="8" width="11.42578125" style="1" customWidth="1"/>
    <col min="9" max="9" width="12.7109375" style="1" customWidth="1"/>
    <col min="10" max="10" width="13.28515625" style="1" customWidth="1"/>
    <col min="11" max="11" width="12.42578125" style="1" customWidth="1"/>
    <col min="12" max="12" width="12.42578125" style="1" bestFit="1" customWidth="1"/>
    <col min="13" max="14" width="12.7109375" style="1" customWidth="1"/>
    <col min="15" max="15" width="15.85546875" style="1" customWidth="1"/>
    <col min="16" max="16" width="1.7109375" style="1" customWidth="1"/>
    <col min="17" max="17" width="14" style="1" customWidth="1"/>
    <col min="18" max="18" width="14.28515625" style="1" bestFit="1" customWidth="1"/>
    <col min="19" max="16384" width="8.85546875" style="1"/>
  </cols>
  <sheetData>
    <row r="1" spans="1:18" ht="20.100000000000001" customHeight="1">
      <c r="A1" s="5"/>
      <c r="B1" s="4"/>
      <c r="C1" s="4"/>
      <c r="D1" s="4"/>
    </row>
    <row r="2" spans="1:18" ht="20.100000000000001" customHeight="1">
      <c r="A2" s="17"/>
      <c r="B2" s="4"/>
      <c r="C2" s="4"/>
      <c r="D2" s="4"/>
      <c r="E2" s="6"/>
    </row>
    <row r="3" spans="1:18" s="36" customFormat="1" ht="27" customHeight="1">
      <c r="A3" s="29"/>
      <c r="B3" s="30" t="s">
        <v>276</v>
      </c>
      <c r="C3" s="31" t="s">
        <v>277</v>
      </c>
      <c r="D3" s="32" t="s">
        <v>278</v>
      </c>
      <c r="E3" s="33" t="s">
        <v>282</v>
      </c>
      <c r="F3" s="33" t="s">
        <v>281</v>
      </c>
      <c r="G3" s="34" t="s">
        <v>270</v>
      </c>
      <c r="H3" s="34" t="s">
        <v>283</v>
      </c>
      <c r="I3" s="35" t="s">
        <v>272</v>
      </c>
      <c r="J3" s="35" t="s">
        <v>273</v>
      </c>
      <c r="K3" s="35" t="s">
        <v>271</v>
      </c>
      <c r="L3" s="35" t="s">
        <v>274</v>
      </c>
      <c r="M3" s="34" t="s">
        <v>320</v>
      </c>
      <c r="N3" s="35" t="s">
        <v>321</v>
      </c>
      <c r="O3" s="35" t="s">
        <v>275</v>
      </c>
    </row>
    <row r="4" spans="1:18" ht="20.100000000000001" customHeight="1">
      <c r="A4" s="18"/>
      <c r="B4" s="9"/>
      <c r="C4" s="39">
        <f>'BOQ '!G49</f>
        <v>0</v>
      </c>
      <c r="D4" s="39"/>
      <c r="E4" s="10"/>
      <c r="F4" s="11"/>
      <c r="G4" s="11"/>
      <c r="H4" s="11"/>
      <c r="I4" s="11"/>
      <c r="J4" s="11"/>
      <c r="K4" s="11"/>
      <c r="L4" s="11"/>
      <c r="M4" s="11"/>
      <c r="N4" s="11"/>
      <c r="O4" s="15">
        <f>SUM(C4:N4)</f>
        <v>0</v>
      </c>
      <c r="Q4" s="20">
        <f>'BOQ '!G49</f>
        <v>0</v>
      </c>
      <c r="R4" s="6">
        <f>O4-Q4</f>
        <v>0</v>
      </c>
    </row>
    <row r="5" spans="1:18" ht="20.100000000000001" customHeight="1">
      <c r="A5" s="184"/>
      <c r="B5" s="41"/>
      <c r="C5" s="42"/>
      <c r="D5" s="42">
        <f>'BOQ '!G87</f>
        <v>0</v>
      </c>
      <c r="E5" s="43"/>
      <c r="F5" s="44"/>
      <c r="G5" s="44"/>
      <c r="H5" s="44"/>
      <c r="I5" s="44"/>
      <c r="J5" s="44"/>
      <c r="K5" s="44"/>
      <c r="L5" s="44"/>
      <c r="M5" s="44"/>
      <c r="N5" s="44"/>
      <c r="O5" s="15">
        <f t="shared" ref="O5:O14" si="0">SUM(C5:N5)</f>
        <v>0</v>
      </c>
      <c r="Q5" s="20">
        <f>'BOQ '!G87</f>
        <v>0</v>
      </c>
      <c r="R5" s="6">
        <f t="shared" ref="R5:R15" si="1">O5-Q5</f>
        <v>0</v>
      </c>
    </row>
    <row r="6" spans="1:18" ht="20.100000000000001" customHeight="1">
      <c r="A6" s="18"/>
      <c r="B6" s="28" t="s">
        <v>279</v>
      </c>
      <c r="C6" s="40"/>
      <c r="D6" s="40"/>
      <c r="E6" s="13">
        <f>'Floor Summary'!H3</f>
        <v>0</v>
      </c>
      <c r="F6" s="14"/>
      <c r="G6" s="14"/>
      <c r="H6" s="14"/>
      <c r="I6" s="14"/>
      <c r="J6" s="14"/>
      <c r="K6" s="14"/>
      <c r="L6" s="14"/>
      <c r="M6" s="14"/>
      <c r="N6" s="14"/>
      <c r="O6" s="15">
        <f t="shared" si="0"/>
        <v>0</v>
      </c>
      <c r="Q6" s="20">
        <f>'Floor Summary'!H3</f>
        <v>0</v>
      </c>
      <c r="R6" s="6"/>
    </row>
    <row r="7" spans="1:18" ht="20.100000000000001" customHeight="1">
      <c r="A7" s="18"/>
      <c r="B7" s="28" t="s">
        <v>280</v>
      </c>
      <c r="C7" s="40"/>
      <c r="D7" s="40"/>
      <c r="E7" s="13">
        <f>'Floor Summary'!H7</f>
        <v>0</v>
      </c>
      <c r="F7" s="13" t="e">
        <f>'BOQ '!#REF!+'BOQ '!#REF!+'BOQ '!G304</f>
        <v>#REF!</v>
      </c>
      <c r="G7" s="13">
        <f>'BOQ '!G328</f>
        <v>0</v>
      </c>
      <c r="H7" s="13">
        <f>'BOQ '!G410</f>
        <v>0</v>
      </c>
      <c r="I7" s="13">
        <f>Doors!O56+'BOQ '!G444</f>
        <v>437800.701</v>
      </c>
      <c r="J7" s="13">
        <f>'BOQ '!G491+'BOQ '!G497+'BOQ '!G504</f>
        <v>0</v>
      </c>
      <c r="K7" s="13">
        <f>K16*0.15</f>
        <v>0</v>
      </c>
      <c r="L7" s="13">
        <f>'BOQ '!G623+'BOQ '!G639</f>
        <v>0</v>
      </c>
      <c r="M7" s="13">
        <f>'BOQ '!G730*0.12</f>
        <v>0</v>
      </c>
      <c r="O7" s="15" t="e">
        <f>SUM(C7:R7)</f>
        <v>#REF!</v>
      </c>
      <c r="Q7" s="20">
        <f>'Floor Summary'!H7</f>
        <v>0</v>
      </c>
      <c r="R7" s="13" t="e">
        <f>SUM(F7:M7)</f>
        <v>#REF!</v>
      </c>
    </row>
    <row r="8" spans="1:18" ht="20.100000000000001" customHeight="1">
      <c r="A8" s="18"/>
      <c r="B8" s="28" t="s">
        <v>206</v>
      </c>
      <c r="C8" s="40"/>
      <c r="D8" s="40"/>
      <c r="E8" s="13">
        <f>'Floor Summary'!H11</f>
        <v>0</v>
      </c>
      <c r="F8" s="13" t="e">
        <f>'BOQ '!G286+'BOQ '!#REF!+'BOQ '!G305</f>
        <v>#REF!</v>
      </c>
      <c r="G8" s="13" t="e">
        <f>'BOQ '!#REF!+'BOQ '!G331</f>
        <v>#REF!</v>
      </c>
      <c r="H8" s="13">
        <f>'BOQ '!G411</f>
        <v>0</v>
      </c>
      <c r="I8" s="13">
        <f>Doors!P56</f>
        <v>507763.13500000001</v>
      </c>
      <c r="J8" s="13">
        <f>'BOQ '!G492+'BOQ '!G498+'BOQ '!G505</f>
        <v>0</v>
      </c>
      <c r="K8" s="13">
        <f>(K16-K7)/3</f>
        <v>0</v>
      </c>
      <c r="L8" s="13">
        <f>'BOQ '!G624+'BOQ '!G640</f>
        <v>0</v>
      </c>
      <c r="M8" s="13">
        <f>('BOQ '!G730-('Summary Analize'!M7+M11))/3</f>
        <v>0</v>
      </c>
      <c r="O8" s="15" t="e">
        <f>SUM(C8:R8)</f>
        <v>#REF!</v>
      </c>
      <c r="Q8" s="20">
        <f>'Floor Summary'!H11</f>
        <v>0</v>
      </c>
      <c r="R8" s="13" t="e">
        <f>SUM(F8:M8)</f>
        <v>#REF!</v>
      </c>
    </row>
    <row r="9" spans="1:18" ht="20.100000000000001" customHeight="1">
      <c r="A9" s="18"/>
      <c r="B9" s="28" t="s">
        <v>207</v>
      </c>
      <c r="C9" s="40"/>
      <c r="D9" s="40"/>
      <c r="E9" s="13" t="e">
        <f>'Floor Summary'!H15</f>
        <v>#REF!</v>
      </c>
      <c r="F9" s="13">
        <f>'BOQ '!G287+'BOQ '!G296+'BOQ '!G307</f>
        <v>0</v>
      </c>
      <c r="G9" s="13" t="e">
        <f>'BOQ '!#REF!+'BOQ '!G332</f>
        <v>#REF!</v>
      </c>
      <c r="H9" s="13">
        <f>'BOQ '!G412</f>
        <v>0</v>
      </c>
      <c r="I9" s="13">
        <f>Doors!Q56</f>
        <v>507763.13500000001</v>
      </c>
      <c r="J9" s="13" t="e">
        <f>'BOQ '!#REF!+'BOQ '!#REF!+'BOQ '!G507</f>
        <v>#REF!</v>
      </c>
      <c r="K9" s="13">
        <f>((K16-(K7+K8)))/3</f>
        <v>0</v>
      </c>
      <c r="L9" s="13" t="e">
        <f>'BOQ '!#REF!+'BOQ '!G641</f>
        <v>#REF!</v>
      </c>
      <c r="M9" s="13">
        <f>M8</f>
        <v>0</v>
      </c>
      <c r="O9" s="15" t="e">
        <f>SUM(C9:R9)</f>
        <v>#REF!</v>
      </c>
      <c r="Q9" s="20" t="e">
        <f>'Floor Summary'!H15</f>
        <v>#REF!</v>
      </c>
      <c r="R9" s="13" t="e">
        <f>SUM(F9:M9)</f>
        <v>#REF!</v>
      </c>
    </row>
    <row r="10" spans="1:18" ht="20.100000000000001" customHeight="1">
      <c r="A10" s="18"/>
      <c r="B10" s="28" t="s">
        <v>217</v>
      </c>
      <c r="C10" s="40"/>
      <c r="D10" s="40"/>
      <c r="E10" s="13" t="e">
        <f>'Floor Summary'!H19</f>
        <v>#REF!</v>
      </c>
      <c r="F10" s="13" t="e">
        <f>'BOQ '!#REF!+'BOQ '!G297+'BOQ '!G308</f>
        <v>#REF!</v>
      </c>
      <c r="G10" s="13" t="e">
        <f>'BOQ '!#REF!+'BOQ '!G333</f>
        <v>#REF!</v>
      </c>
      <c r="H10" s="13">
        <f>'BOQ '!G413</f>
        <v>0</v>
      </c>
      <c r="I10" s="13">
        <f>Doors!R56</f>
        <v>507763.13500000001</v>
      </c>
      <c r="J10" s="13" t="e">
        <f>'BOQ '!#REF!+'BOQ '!#REF!+'BOQ '!G508</f>
        <v>#REF!</v>
      </c>
      <c r="K10" s="13">
        <f>K9</f>
        <v>0</v>
      </c>
      <c r="L10" s="13">
        <f>'BOQ '!G630+'BOQ '!G642</f>
        <v>0</v>
      </c>
      <c r="M10" s="13">
        <f>M9</f>
        <v>0</v>
      </c>
      <c r="O10" s="15" t="e">
        <f>SUM(C10:R10)</f>
        <v>#REF!</v>
      </c>
      <c r="Q10" s="20" t="e">
        <f>'Floor Summary'!H19</f>
        <v>#REF!</v>
      </c>
      <c r="R10" s="13" t="e">
        <f>SUM(F10:M10)</f>
        <v>#REF!</v>
      </c>
    </row>
    <row r="11" spans="1:18" ht="20.100000000000001" customHeight="1">
      <c r="A11" s="18"/>
      <c r="B11" s="28" t="s">
        <v>218</v>
      </c>
      <c r="C11" s="40"/>
      <c r="D11" s="40"/>
      <c r="E11" s="13" t="e">
        <f>'Floor Summary'!H23</f>
        <v>#REF!</v>
      </c>
      <c r="F11" s="13" t="e">
        <f>'BOQ '!#REF!+'BOQ '!G299+'BOQ '!G309</f>
        <v>#REF!</v>
      </c>
      <c r="G11" s="13">
        <f>'BOQ '!G329+'BOQ '!G334</f>
        <v>0</v>
      </c>
      <c r="H11" s="13"/>
      <c r="I11" s="13">
        <f>Doors!S56</f>
        <v>0</v>
      </c>
      <c r="J11" s="13" t="e">
        <f>'BOQ '!#REF!+'BOQ '!#REF!+'BOQ '!#REF!</f>
        <v>#REF!</v>
      </c>
      <c r="K11" s="13">
        <f t="shared" ref="K11" si="2">K10</f>
        <v>0</v>
      </c>
      <c r="L11" s="13">
        <f>'BOQ '!G631+'BOQ '!G643</f>
        <v>0</v>
      </c>
      <c r="M11" s="13">
        <f>'BOQ '!G730*0.04</f>
        <v>0</v>
      </c>
      <c r="O11" s="15" t="e">
        <f>SUM(C11:R11)</f>
        <v>#REF!</v>
      </c>
      <c r="Q11" s="20" t="e">
        <f>'Floor Summary'!H23</f>
        <v>#REF!</v>
      </c>
      <c r="R11" s="13" t="e">
        <f>SUM(F11:M11)</f>
        <v>#REF!</v>
      </c>
    </row>
    <row r="12" spans="1:18" ht="20.100000000000001" customHeight="1">
      <c r="A12" s="18"/>
      <c r="B12" s="28" t="s">
        <v>322</v>
      </c>
      <c r="C12" s="40"/>
      <c r="D12" s="40"/>
      <c r="E12" s="13" t="e">
        <f>'Floor Summary'!H27</f>
        <v>#REF!</v>
      </c>
      <c r="K12" s="13"/>
      <c r="N12" s="14"/>
      <c r="O12" s="15" t="e">
        <f t="shared" si="0"/>
        <v>#REF!</v>
      </c>
      <c r="Q12" s="20" t="e">
        <f>E12+M11</f>
        <v>#REF!</v>
      </c>
      <c r="R12" s="6"/>
    </row>
    <row r="13" spans="1:18" ht="20.100000000000001" customHeight="1">
      <c r="A13" s="18"/>
      <c r="C13" s="40"/>
      <c r="D13" s="40"/>
      <c r="F13" s="13"/>
      <c r="G13" s="13"/>
      <c r="H13" s="13"/>
      <c r="K13" s="13"/>
      <c r="L13" s="13" t="e">
        <f>'BOQ '!G634+'BOQ '!#REF!</f>
        <v>#REF!</v>
      </c>
      <c r="N13" s="14"/>
      <c r="O13" s="15" t="e">
        <f t="shared" si="0"/>
        <v>#REF!</v>
      </c>
      <c r="Q13" s="20"/>
      <c r="R13" s="6"/>
    </row>
    <row r="14" spans="1:18" ht="20.100000000000001" customHeight="1">
      <c r="A14" s="18"/>
      <c r="C14" s="40"/>
      <c r="D14" s="40"/>
      <c r="E14" s="13"/>
      <c r="F14" s="13"/>
      <c r="G14" s="13"/>
      <c r="H14" s="13"/>
      <c r="I14" s="13"/>
      <c r="J14" s="13"/>
      <c r="K14" s="13"/>
      <c r="L14" s="13" t="e">
        <f>'BOQ '!G635+'BOQ '!#REF!</f>
        <v>#REF!</v>
      </c>
      <c r="M14" s="13"/>
      <c r="N14" s="13"/>
      <c r="O14" s="15" t="e">
        <f t="shared" si="0"/>
        <v>#REF!</v>
      </c>
      <c r="Q14" s="20"/>
      <c r="R14" s="6" t="e">
        <f>O14-Q14</f>
        <v>#REF!</v>
      </c>
    </row>
    <row r="15" spans="1:18" ht="20.100000000000001" customHeight="1" thickBot="1">
      <c r="A15" s="18"/>
      <c r="B15" s="12"/>
      <c r="C15" s="40"/>
      <c r="D15" s="40"/>
      <c r="E15" s="13"/>
      <c r="F15" s="13"/>
      <c r="G15" s="13"/>
      <c r="H15" s="13"/>
      <c r="I15" s="13"/>
      <c r="J15" s="13"/>
      <c r="K15" s="13"/>
      <c r="L15" s="13"/>
      <c r="M15" s="13"/>
      <c r="N15" s="13"/>
      <c r="O15" s="46">
        <f t="shared" ref="O15" si="3">SUM(E15:N15)</f>
        <v>0</v>
      </c>
      <c r="Q15" s="20"/>
      <c r="R15" s="6">
        <f t="shared" si="1"/>
        <v>0</v>
      </c>
    </row>
    <row r="16" spans="1:18" ht="20.100000000000001" customHeight="1" thickBot="1">
      <c r="A16" s="18"/>
      <c r="B16" s="37"/>
      <c r="C16" s="38">
        <f>SUM(C4:C14)</f>
        <v>0</v>
      </c>
      <c r="D16" s="38">
        <f>SUM(D4:D14)</f>
        <v>0</v>
      </c>
      <c r="E16" s="38" t="e">
        <f>SUM(E4:E14)</f>
        <v>#REF!</v>
      </c>
      <c r="F16" s="38" t="e">
        <f>SUM(F6:F14)</f>
        <v>#REF!</v>
      </c>
      <c r="G16" s="38" t="e">
        <f>SUM(G6:G14)</f>
        <v>#REF!</v>
      </c>
      <c r="H16" s="38">
        <f>SUM(H6:H14)</f>
        <v>0</v>
      </c>
      <c r="I16" s="38">
        <f>SUM(I6:I14)</f>
        <v>1961090.1059999999</v>
      </c>
      <c r="J16" s="38" t="e">
        <f>SUM(J6:J14)</f>
        <v>#REF!</v>
      </c>
      <c r="K16" s="38">
        <f>'BOQ '!G611</f>
        <v>0</v>
      </c>
      <c r="L16" s="38" t="e">
        <f>SUM(L6:L14)</f>
        <v>#REF!</v>
      </c>
      <c r="M16" s="209">
        <f>'BOQ '!G730</f>
        <v>0</v>
      </c>
      <c r="N16" s="209">
        <f>SUM(N6:N15)</f>
        <v>0</v>
      </c>
      <c r="O16" s="45" t="e">
        <f>SUM(O4:O15)</f>
        <v>#REF!</v>
      </c>
      <c r="Q16" s="27" t="e">
        <f>SUM(Q4:Q15)</f>
        <v>#REF!</v>
      </c>
      <c r="R16" s="27" t="e">
        <f>SUM(R4:R15)</f>
        <v>#REF!</v>
      </c>
    </row>
    <row r="17" spans="1:15" ht="20.100000000000001" customHeight="1">
      <c r="A17" s="18"/>
      <c r="B17" s="4"/>
      <c r="C17" s="4"/>
      <c r="D17" s="4"/>
      <c r="E17" s="6"/>
      <c r="M17" s="210"/>
      <c r="N17" s="210"/>
      <c r="O17" s="6">
        <f>'[1]Concrete  summary '!C23</f>
        <v>15361296.901186867</v>
      </c>
    </row>
    <row r="18" spans="1:15" ht="20.100000000000001" customHeight="1">
      <c r="A18" s="18"/>
      <c r="B18" s="4"/>
      <c r="C18" s="4">
        <f>Summary!E14</f>
        <v>0</v>
      </c>
      <c r="D18" s="4">
        <f>Summary!E16</f>
        <v>0</v>
      </c>
      <c r="E18" s="6">
        <f>Summary!E18</f>
        <v>0</v>
      </c>
      <c r="F18" s="20">
        <f>Summary!E20</f>
        <v>0</v>
      </c>
      <c r="G18" s="20">
        <f>Summary!E22</f>
        <v>0</v>
      </c>
      <c r="H18" s="20">
        <f>Summary!E26</f>
        <v>0</v>
      </c>
      <c r="I18" s="20">
        <f>Summary!E28</f>
        <v>0</v>
      </c>
      <c r="J18" s="20">
        <f>Summary!E30</f>
        <v>0</v>
      </c>
      <c r="K18" s="20">
        <f>Summary!E32</f>
        <v>0</v>
      </c>
      <c r="L18" s="20">
        <f>Summary!E34</f>
        <v>0</v>
      </c>
      <c r="M18" s="210"/>
      <c r="N18" s="211">
        <f>Summary!E36</f>
        <v>0</v>
      </c>
      <c r="O18" s="7">
        <v>16616291.42</v>
      </c>
    </row>
    <row r="19" spans="1:15" ht="39.75" customHeight="1">
      <c r="A19" s="18"/>
      <c r="B19" s="6">
        <f t="shared" ref="B19:K19" si="4">B18-B16</f>
        <v>0</v>
      </c>
      <c r="C19" s="6">
        <f>C18-C16</f>
        <v>0</v>
      </c>
      <c r="D19" s="6">
        <f t="shared" si="4"/>
        <v>0</v>
      </c>
      <c r="E19" s="6" t="e">
        <f>E18-E16</f>
        <v>#REF!</v>
      </c>
      <c r="F19" s="6" t="e">
        <f t="shared" si="4"/>
        <v>#REF!</v>
      </c>
      <c r="G19" s="6" t="e">
        <f t="shared" si="4"/>
        <v>#REF!</v>
      </c>
      <c r="H19" s="6">
        <f t="shared" si="4"/>
        <v>0</v>
      </c>
      <c r="I19" s="6">
        <f>I18-I16</f>
        <v>-1961090.1059999999</v>
      </c>
      <c r="J19" s="6" t="e">
        <f t="shared" si="4"/>
        <v>#REF!</v>
      </c>
      <c r="K19" s="6">
        <f t="shared" si="4"/>
        <v>0</v>
      </c>
      <c r="L19" s="6" t="e">
        <f>L18-L16</f>
        <v>#REF!</v>
      </c>
      <c r="O19" s="6"/>
    </row>
    <row r="20" spans="1:15" ht="20.100000000000001" customHeight="1">
      <c r="A20" s="19"/>
      <c r="B20" s="4"/>
      <c r="C20" s="4"/>
      <c r="D20" s="4"/>
      <c r="K20" s="6"/>
      <c r="N20" s="21"/>
      <c r="O20" s="6">
        <v>18217065.219999999</v>
      </c>
    </row>
    <row r="21" spans="1:15" s="24" customFormat="1" ht="40.5" customHeight="1">
      <c r="A21" s="22"/>
      <c r="B21" s="23"/>
      <c r="C21" s="23"/>
      <c r="D21" s="23"/>
      <c r="O21" s="26" t="e">
        <f>O16-O18</f>
        <v>#REF!</v>
      </c>
    </row>
    <row r="22" spans="1:15" ht="20.100000000000001" customHeight="1"/>
    <row r="23" spans="1:15" ht="20.100000000000001" customHeight="1">
      <c r="A23" s="182"/>
    </row>
    <row r="24" spans="1:15" ht="18.75">
      <c r="A24" s="183"/>
      <c r="C24" s="25"/>
      <c r="D24" s="6"/>
    </row>
    <row r="25" spans="1:15" ht="13.5"/>
    <row r="26" spans="1:15" ht="13.5">
      <c r="C26" s="6"/>
    </row>
    <row r="27" spans="1:15" ht="13.5">
      <c r="C27" s="6"/>
    </row>
    <row r="28" spans="1:15" ht="13.5"/>
    <row r="29" spans="1:15" ht="13.5"/>
    <row r="30" spans="1:15" ht="13.5"/>
    <row r="31" spans="1:15" ht="13.5"/>
    <row r="32" spans="1:15" ht="13.5"/>
    <row r="33" spans="4:4" ht="13.5"/>
    <row r="34" spans="4:4" ht="13.5"/>
    <row r="35" spans="4:4" ht="13.5"/>
    <row r="36" spans="4:4" ht="13.5">
      <c r="D36" s="6"/>
    </row>
    <row r="37" spans="4:4" ht="13.5"/>
    <row r="38" spans="4:4" ht="13.5"/>
    <row r="39" spans="4:4" ht="13.5"/>
    <row r="40" spans="4:4" ht="13.5"/>
    <row r="41" spans="4:4" ht="13.5"/>
    <row r="42" spans="4:4" ht="13.5"/>
    <row r="43" spans="4:4" ht="13.5"/>
    <row r="44" spans="4:4" ht="13.5"/>
    <row r="45" spans="4:4" ht="13.5"/>
    <row r="46" spans="4:4" ht="13.5"/>
    <row r="47" spans="4:4" ht="13.5"/>
    <row r="48" spans="4:4" ht="13.5"/>
    <row r="49" ht="13.5"/>
    <row r="50" ht="13.5"/>
    <row r="51" ht="13.5"/>
    <row r="52" ht="13.5"/>
    <row r="53" ht="13.5"/>
    <row r="54" ht="13.5"/>
    <row r="55" ht="13.5"/>
    <row r="56" ht="13.5"/>
    <row r="57" ht="13.5"/>
    <row r="58" ht="13.5"/>
    <row r="59" ht="13.5"/>
    <row r="60" ht="13.5"/>
    <row r="61" ht="13.5"/>
    <row r="62" ht="13.5"/>
    <row r="63" ht="13.5"/>
    <row r="64" ht="13.5"/>
    <row r="65" ht="13.5"/>
    <row r="66" ht="13.5"/>
    <row r="67" ht="13.5"/>
    <row r="68" ht="13.5"/>
    <row r="69" ht="13.5"/>
    <row r="70" ht="13.5"/>
    <row r="71" ht="13.5"/>
    <row r="72" ht="13.5"/>
    <row r="73" ht="13.5"/>
    <row r="74" ht="13.5"/>
    <row r="75" ht="13.5"/>
    <row r="76" ht="13.5"/>
    <row r="77" ht="13.5"/>
    <row r="78" ht="13.5"/>
    <row r="79" ht="13.5"/>
    <row r="80" ht="13.5"/>
    <row r="81" ht="13.5"/>
    <row r="82" ht="13.5"/>
    <row r="83" ht="13.5"/>
    <row r="84" ht="13.5"/>
    <row r="85" ht="13.5"/>
    <row r="86" ht="13.5"/>
    <row r="87" ht="13.5"/>
    <row r="88" ht="13.5"/>
    <row r="89" ht="13.5"/>
    <row r="90" ht="13.5"/>
    <row r="91" ht="13.5"/>
    <row r="92" ht="13.5"/>
    <row r="93" ht="13.5"/>
    <row r="94" ht="13.5"/>
    <row r="95" ht="13.5"/>
    <row r="96" ht="13.5"/>
    <row r="97" ht="13.5"/>
    <row r="98" ht="13.5"/>
    <row r="99" ht="13.5"/>
    <row r="100" ht="13.5"/>
    <row r="101" ht="13.5"/>
    <row r="102" ht="13.5"/>
    <row r="103" ht="13.5"/>
    <row r="104" ht="13.5"/>
    <row r="105" ht="13.5"/>
    <row r="106" ht="13.5"/>
    <row r="107" ht="13.5"/>
    <row r="108" ht="13.5"/>
    <row r="109" ht="13.5"/>
    <row r="110" ht="13.5"/>
    <row r="111" ht="13.5"/>
    <row r="112" ht="13.5"/>
    <row r="113" ht="13.5"/>
    <row r="114" ht="13.5"/>
    <row r="115" ht="13.5"/>
    <row r="116" ht="13.5"/>
    <row r="117" ht="13.5"/>
    <row r="118" ht="13.5"/>
    <row r="119" ht="13.5"/>
    <row r="120" ht="13.5"/>
    <row r="121" ht="13.5"/>
    <row r="122" ht="13.5"/>
    <row r="123" ht="13.5"/>
    <row r="124" ht="13.5"/>
    <row r="125" ht="13.5"/>
    <row r="126" ht="13.5"/>
  </sheetData>
  <pageMargins left="0.3" right="0.13" top="0.82" bottom="0.75" header="0.3" footer="0.3"/>
  <pageSetup paperSize="9" orientation="portrait" r:id="rId1"/>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topLeftCell="A14" workbookViewId="0">
      <selection activeCell="C34" sqref="C34"/>
    </sheetView>
  </sheetViews>
  <sheetFormatPr defaultColWidth="8.85546875" defaultRowHeight="12.75"/>
  <cols>
    <col min="1" max="1" width="14" customWidth="1"/>
    <col min="2" max="2" width="16.140625" customWidth="1"/>
    <col min="3" max="3" width="14" bestFit="1" customWidth="1"/>
    <col min="4" max="5" width="12.85546875" bestFit="1" customWidth="1"/>
    <col min="6" max="6" width="14" bestFit="1" customWidth="1"/>
    <col min="7" max="7" width="12.85546875" bestFit="1" customWidth="1"/>
    <col min="8" max="8" width="14" bestFit="1" customWidth="1"/>
    <col min="10" max="10" width="11.28515625" bestFit="1" customWidth="1"/>
  </cols>
  <sheetData>
    <row r="1" spans="1:8">
      <c r="A1" s="187" t="s">
        <v>313</v>
      </c>
      <c r="B1" s="188" t="s">
        <v>184</v>
      </c>
      <c r="C1" s="177">
        <f>SUM('BOQ '!G96:G110)</f>
        <v>0</v>
      </c>
      <c r="D1" s="189"/>
      <c r="F1" s="188"/>
      <c r="G1" s="188"/>
      <c r="H1" s="190"/>
    </row>
    <row r="2" spans="1:8">
      <c r="A2" s="191"/>
      <c r="B2" s="192" t="s">
        <v>314</v>
      </c>
      <c r="C2" s="207">
        <f>SUM('BOQ '!G148:G155)</f>
        <v>0</v>
      </c>
      <c r="D2" s="193"/>
      <c r="E2" s="193"/>
      <c r="F2" s="192"/>
      <c r="G2" s="192"/>
      <c r="H2" s="194"/>
    </row>
    <row r="3" spans="1:8">
      <c r="A3" s="191"/>
      <c r="B3" s="192" t="s">
        <v>315</v>
      </c>
      <c r="C3" s="186">
        <f>SUM('BOQ '!G238:G239)</f>
        <v>0</v>
      </c>
      <c r="D3" s="193"/>
      <c r="E3" s="193"/>
      <c r="F3" s="195">
        <f>SUM(C1:C3)</f>
        <v>0</v>
      </c>
      <c r="G3" s="195">
        <f>SUM(D1:D3)</f>
        <v>0</v>
      </c>
      <c r="H3" s="196">
        <f>SUM(F3:G3)</f>
        <v>0</v>
      </c>
    </row>
    <row r="4" spans="1:8">
      <c r="A4" s="191"/>
      <c r="B4" s="192"/>
      <c r="C4" s="193"/>
      <c r="D4" s="193"/>
      <c r="E4" s="193"/>
      <c r="F4" s="195"/>
      <c r="G4" s="195"/>
      <c r="H4" s="196"/>
    </row>
    <row r="5" spans="1:8">
      <c r="A5" s="191" t="s">
        <v>280</v>
      </c>
      <c r="B5" s="192" t="s">
        <v>184</v>
      </c>
      <c r="C5" s="208">
        <f>SUM('BOQ '!G116:G121)</f>
        <v>0</v>
      </c>
      <c r="D5" s="193"/>
      <c r="E5" s="193"/>
      <c r="F5" s="192"/>
      <c r="G5" s="192"/>
      <c r="H5" s="194"/>
    </row>
    <row r="6" spans="1:8">
      <c r="A6" s="191"/>
      <c r="B6" s="192" t="s">
        <v>314</v>
      </c>
      <c r="C6" s="225">
        <f>SUM('BOQ '!G166:G169)</f>
        <v>0</v>
      </c>
      <c r="D6" s="193"/>
      <c r="E6" s="193"/>
      <c r="F6" s="192"/>
      <c r="G6" s="192"/>
      <c r="H6" s="194"/>
    </row>
    <row r="7" spans="1:8">
      <c r="A7" s="191"/>
      <c r="B7" s="192" t="s">
        <v>315</v>
      </c>
      <c r="C7" s="186">
        <f>SUM('BOQ '!G245:G250)</f>
        <v>0</v>
      </c>
      <c r="D7" s="193"/>
      <c r="E7" s="193"/>
      <c r="F7" s="195">
        <f>SUM(C5:C7)</f>
        <v>0</v>
      </c>
      <c r="G7" s="195">
        <f>SUM(D5:D7)</f>
        <v>0</v>
      </c>
      <c r="H7" s="196">
        <f>SUM(F7:G7)</f>
        <v>0</v>
      </c>
    </row>
    <row r="8" spans="1:8">
      <c r="A8" s="191"/>
      <c r="B8" s="192"/>
      <c r="C8" s="193"/>
      <c r="D8" s="193"/>
      <c r="E8" s="193"/>
      <c r="F8" s="195"/>
      <c r="G8" s="195"/>
      <c r="H8" s="196"/>
    </row>
    <row r="9" spans="1:8">
      <c r="A9" s="191" t="s">
        <v>316</v>
      </c>
      <c r="B9" s="192" t="s">
        <v>184</v>
      </c>
      <c r="C9" s="208">
        <f>SUM('BOQ '!G122:G139)</f>
        <v>0</v>
      </c>
      <c r="D9" s="197"/>
      <c r="E9" s="197"/>
      <c r="F9" s="192"/>
      <c r="G9" s="192"/>
      <c r="H9" s="194"/>
    </row>
    <row r="10" spans="1:8">
      <c r="A10" s="191"/>
      <c r="B10" s="192" t="s">
        <v>314</v>
      </c>
      <c r="C10" s="224">
        <f>SUM('BOQ '!G176:G176)</f>
        <v>0</v>
      </c>
      <c r="D10" s="193"/>
      <c r="E10" s="193"/>
      <c r="F10" s="192"/>
      <c r="G10" s="192"/>
      <c r="H10" s="194"/>
    </row>
    <row r="11" spans="1:8">
      <c r="A11" s="191"/>
      <c r="B11" s="192" t="s">
        <v>315</v>
      </c>
      <c r="C11" s="186">
        <f>SUM('BOQ '!G251:G267)</f>
        <v>0</v>
      </c>
      <c r="D11" s="193"/>
      <c r="E11" s="193"/>
      <c r="F11" s="195">
        <f>SUM(C9:C11)</f>
        <v>0</v>
      </c>
      <c r="G11" s="195">
        <f>SUM(D9:D11)</f>
        <v>0</v>
      </c>
      <c r="H11" s="196">
        <f>SUM(F11:G11)</f>
        <v>0</v>
      </c>
    </row>
    <row r="12" spans="1:8">
      <c r="A12" s="191"/>
      <c r="B12" s="192"/>
      <c r="C12" s="193"/>
      <c r="D12" s="193"/>
      <c r="E12" s="193"/>
      <c r="F12" s="195"/>
      <c r="G12" s="195"/>
      <c r="H12" s="196"/>
    </row>
    <row r="13" spans="1:8">
      <c r="A13" s="191" t="s">
        <v>317</v>
      </c>
      <c r="B13" s="192" t="s">
        <v>184</v>
      </c>
      <c r="C13" s="208">
        <f>SUM('BOQ '!G122:G139)</f>
        <v>0</v>
      </c>
      <c r="D13" s="193"/>
      <c r="E13" s="193"/>
      <c r="F13" s="192"/>
      <c r="G13" s="192"/>
      <c r="H13" s="194"/>
    </row>
    <row r="14" spans="1:8">
      <c r="A14" s="191"/>
      <c r="B14" s="192" t="s">
        <v>314</v>
      </c>
      <c r="C14" s="225">
        <f>SUM('BOQ '!G177:G227)</f>
        <v>0</v>
      </c>
      <c r="D14" s="193"/>
      <c r="E14" s="193"/>
      <c r="F14" s="192"/>
      <c r="G14" s="192"/>
      <c r="H14" s="194"/>
    </row>
    <row r="15" spans="1:8">
      <c r="A15" s="191"/>
      <c r="B15" s="192" t="s">
        <v>315</v>
      </c>
      <c r="C15" s="186" t="e">
        <f>SUM('BOQ '!#REF!)</f>
        <v>#REF!</v>
      </c>
      <c r="D15" s="193"/>
      <c r="E15" s="193"/>
      <c r="F15" s="195" t="e">
        <f>SUM(C13:C15)</f>
        <v>#REF!</v>
      </c>
      <c r="G15" s="195">
        <f>SUM(D13:D15)</f>
        <v>0</v>
      </c>
      <c r="H15" s="196" t="e">
        <f>SUM(F15:G15)</f>
        <v>#REF!</v>
      </c>
    </row>
    <row r="16" spans="1:8">
      <c r="A16" s="191"/>
      <c r="B16" s="192"/>
      <c r="C16" s="193"/>
      <c r="D16" s="193"/>
      <c r="E16" s="193"/>
      <c r="F16" s="195"/>
      <c r="G16" s="195"/>
      <c r="H16" s="196"/>
    </row>
    <row r="17" spans="1:8">
      <c r="A17" s="191" t="s">
        <v>318</v>
      </c>
      <c r="B17" s="192" t="s">
        <v>184</v>
      </c>
      <c r="C17" s="208" t="e">
        <f>SUM('BOQ '!#REF!)</f>
        <v>#REF!</v>
      </c>
      <c r="D17" s="193"/>
      <c r="E17" s="193"/>
      <c r="F17" s="192"/>
      <c r="G17" s="192"/>
      <c r="H17" s="194"/>
    </row>
    <row r="18" spans="1:8">
      <c r="A18" s="191"/>
      <c r="B18" s="192" t="s">
        <v>314</v>
      </c>
      <c r="C18" s="224">
        <f>SUM('BOQ '!G228:G232)</f>
        <v>0</v>
      </c>
      <c r="D18" s="193"/>
      <c r="E18" s="193"/>
      <c r="F18" s="192"/>
      <c r="G18" s="192"/>
      <c r="H18" s="194"/>
    </row>
    <row r="19" spans="1:8">
      <c r="A19" s="191"/>
      <c r="B19" s="192" t="s">
        <v>315</v>
      </c>
      <c r="C19" s="186" t="e">
        <f>SUM('BOQ '!#REF!)</f>
        <v>#REF!</v>
      </c>
      <c r="D19" s="193"/>
      <c r="E19" s="193"/>
      <c r="F19" s="195" t="e">
        <f>SUM(C17:C19)</f>
        <v>#REF!</v>
      </c>
      <c r="G19" s="195">
        <f>SUM(D17:D19)</f>
        <v>0</v>
      </c>
      <c r="H19" s="196" t="e">
        <f>SUM(F19:G19)</f>
        <v>#REF!</v>
      </c>
    </row>
    <row r="20" spans="1:8">
      <c r="A20" s="191"/>
      <c r="B20" s="192"/>
      <c r="C20" s="193"/>
      <c r="D20" s="193"/>
      <c r="E20" s="193"/>
      <c r="F20" s="195"/>
      <c r="G20" s="195"/>
      <c r="H20" s="196"/>
    </row>
    <row r="21" spans="1:8">
      <c r="A21" s="191" t="s">
        <v>319</v>
      </c>
      <c r="B21" s="192" t="s">
        <v>184</v>
      </c>
      <c r="C21" s="208" t="e">
        <f>SUM('BOQ '!#REF!)</f>
        <v>#REF!</v>
      </c>
      <c r="D21" s="193"/>
      <c r="E21" s="193"/>
      <c r="F21" s="192"/>
      <c r="G21" s="192"/>
      <c r="H21" s="194"/>
    </row>
    <row r="22" spans="1:8">
      <c r="A22" s="191"/>
      <c r="B22" s="192" t="s">
        <v>314</v>
      </c>
      <c r="C22" s="212" t="e">
        <f>SUM('BOQ '!#REF!)</f>
        <v>#REF!</v>
      </c>
      <c r="D22" s="193"/>
      <c r="E22" s="193"/>
      <c r="F22" s="192"/>
      <c r="G22" s="192"/>
      <c r="H22" s="194"/>
    </row>
    <row r="23" spans="1:8">
      <c r="A23" s="191"/>
      <c r="B23" s="192" t="s">
        <v>315</v>
      </c>
      <c r="C23" s="186" t="e">
        <f>SUM('BOQ '!#REF!)</f>
        <v>#REF!</v>
      </c>
      <c r="D23" s="193"/>
      <c r="E23" s="193"/>
      <c r="F23" s="195" t="e">
        <f>SUM(C21:C23)</f>
        <v>#REF!</v>
      </c>
      <c r="G23" s="195">
        <f>SUM(D21:D23)</f>
        <v>0</v>
      </c>
      <c r="H23" s="196" t="e">
        <f>SUM(F23:G23)</f>
        <v>#REF!</v>
      </c>
    </row>
    <row r="24" spans="1:8">
      <c r="A24" s="191"/>
      <c r="B24" s="192"/>
      <c r="C24" s="193"/>
      <c r="D24" s="193"/>
      <c r="E24" s="193"/>
      <c r="F24" s="195"/>
      <c r="G24" s="195"/>
      <c r="H24" s="196"/>
    </row>
    <row r="25" spans="1:8">
      <c r="A25" s="206" t="s">
        <v>322</v>
      </c>
      <c r="B25" s="192" t="s">
        <v>184</v>
      </c>
      <c r="C25" s="81" t="e">
        <f>SUM('BOQ '!#REF!)</f>
        <v>#REF!</v>
      </c>
      <c r="D25" s="193"/>
      <c r="E25" s="193"/>
      <c r="F25" s="192"/>
      <c r="G25" s="192"/>
      <c r="H25" s="194"/>
    </row>
    <row r="26" spans="1:8">
      <c r="A26" s="191"/>
      <c r="B26" s="192" t="s">
        <v>314</v>
      </c>
      <c r="C26" s="81" t="e">
        <f>SUM('BOQ '!#REF!)</f>
        <v>#REF!</v>
      </c>
      <c r="D26" s="193"/>
      <c r="E26" s="193"/>
      <c r="F26" s="192"/>
      <c r="G26" s="192"/>
      <c r="H26" s="194"/>
    </row>
    <row r="27" spans="1:8">
      <c r="A27" s="191"/>
      <c r="B27" s="192" t="s">
        <v>315</v>
      </c>
      <c r="C27" s="177" t="e">
        <f>SUM('BOQ '!#REF!)</f>
        <v>#REF!</v>
      </c>
      <c r="D27" s="193"/>
      <c r="E27" s="193"/>
      <c r="F27" s="195" t="e">
        <f>SUM(C25:C27)</f>
        <v>#REF!</v>
      </c>
      <c r="G27" s="195">
        <f>SUM(D25:D27)</f>
        <v>0</v>
      </c>
      <c r="H27" s="196" t="e">
        <f>SUM(F27:G27)</f>
        <v>#REF!</v>
      </c>
    </row>
    <row r="28" spans="1:8">
      <c r="A28" s="191"/>
      <c r="B28" s="192"/>
      <c r="C28" s="193"/>
      <c r="D28" s="193"/>
      <c r="E28" s="193"/>
      <c r="F28" s="195"/>
      <c r="G28" s="195"/>
      <c r="H28" s="196"/>
    </row>
    <row r="29" spans="1:8">
      <c r="A29" s="191" t="s">
        <v>327</v>
      </c>
      <c r="B29" s="192" t="s">
        <v>184</v>
      </c>
      <c r="C29" s="177"/>
      <c r="D29" s="193"/>
      <c r="E29" s="193"/>
      <c r="F29" s="192"/>
      <c r="G29" s="192"/>
      <c r="H29" s="194"/>
    </row>
    <row r="30" spans="1:8">
      <c r="A30" s="191"/>
      <c r="B30" s="192" t="s">
        <v>314</v>
      </c>
      <c r="C30" s="177"/>
      <c r="D30" s="193"/>
      <c r="E30" s="193"/>
      <c r="F30" s="192"/>
      <c r="G30" s="192"/>
      <c r="H30" s="194"/>
    </row>
    <row r="31" spans="1:8">
      <c r="A31" s="199"/>
      <c r="B31" s="200" t="s">
        <v>315</v>
      </c>
      <c r="C31" s="201"/>
      <c r="D31" s="201"/>
      <c r="E31" s="202"/>
      <c r="F31" s="203">
        <f>SUM(C29:C31)</f>
        <v>0</v>
      </c>
      <c r="G31" s="203">
        <f>SUM(D29:D31)</f>
        <v>0</v>
      </c>
      <c r="H31" s="204">
        <f>SUM(F31:G31)</f>
        <v>0</v>
      </c>
    </row>
    <row r="34" spans="3:8">
      <c r="C34" s="205" t="e">
        <f>SUM(C1:C33)</f>
        <v>#REF!</v>
      </c>
      <c r="D34" s="205" t="e">
        <f>SUM(D31,D27,#REF!,#REF!,#REF!,#REF!,D23,D19,D15,D11,D7,D3)</f>
        <v>#REF!</v>
      </c>
      <c r="E34" s="205" t="e">
        <f>SUM(E31,E27,#REF!,#REF!,#REF!,#REF!,E23,E19,E15,E11,E7,E3)</f>
        <v>#REF!</v>
      </c>
      <c r="F34" s="205" t="e">
        <f>SUM(F31,F27,#REF!,#REF!,#REF!,#REF!,F23,F19,F15,F11,F7,F3)</f>
        <v>#REF!</v>
      </c>
      <c r="G34" s="205" t="e">
        <f>SUM(G31,G27,#REF!,#REF!,#REF!,#REF!,G23,G19,G15,G11,G7,G3)</f>
        <v>#REF!</v>
      </c>
      <c r="H34" s="205" t="e">
        <f>SUM(H31,H27,#REF!,#REF!,#REF!,#REF!,H23,H19,H15,H11,H7,H3)</f>
        <v>#REF!</v>
      </c>
    </row>
    <row r="36" spans="3:8">
      <c r="C36" s="198">
        <f>Summary!E18</f>
        <v>0</v>
      </c>
    </row>
    <row r="37" spans="3:8">
      <c r="C37" s="198" t="e">
        <f>C34-C36</f>
        <v>#REF!</v>
      </c>
    </row>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5</vt:i4>
      </vt:variant>
    </vt:vector>
  </HeadingPairs>
  <TitlesOfParts>
    <vt:vector size="12" baseType="lpstr">
      <vt:lpstr>Doors</vt:lpstr>
      <vt:lpstr>cal</vt:lpstr>
      <vt:lpstr>Sheet1</vt:lpstr>
      <vt:lpstr>Summary</vt:lpstr>
      <vt:lpstr>BOQ </vt:lpstr>
      <vt:lpstr>Summary Analize</vt:lpstr>
      <vt:lpstr>Floor Summary</vt:lpstr>
      <vt:lpstr>'BOQ '!Print_Area</vt:lpstr>
      <vt:lpstr>Sheet1!Print_Area</vt:lpstr>
      <vt:lpstr>Summary!Print_Area</vt:lpstr>
      <vt:lpstr>'Summary Analize'!Print_Area</vt:lpstr>
      <vt:lpstr>'BOQ '!Print_Titles</vt:lpstr>
    </vt:vector>
  </TitlesOfParts>
  <Company>Maldives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03 STOREY BUILDING</dc:title>
  <dc:subject>BILL OF QUANTITIES</dc:subject>
  <dc:creator>REJI C.MARIADHAS</dc:creator>
  <cp:keywords>EDDY</cp:keywords>
  <cp:lastModifiedBy>AHMED JINAH IBRAHIM</cp:lastModifiedBy>
  <cp:lastPrinted>2021-08-17T04:40:41Z</cp:lastPrinted>
  <dcterms:created xsi:type="dcterms:W3CDTF">2002-09-16T11:37:28Z</dcterms:created>
  <dcterms:modified xsi:type="dcterms:W3CDTF">2022-04-03T06:32:24Z</dcterms:modified>
  <cp:category>005</cp:category>
</cp:coreProperties>
</file>