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40" windowHeight="9735"/>
  </bookViews>
  <sheets>
    <sheet name="Cover" sheetId="3" r:id="rId1"/>
    <sheet name="Summary" sheetId="2" r:id="rId2"/>
    <sheet name="Boq" sheetId="1" r:id="rId3"/>
  </sheets>
  <definedNames>
    <definedName name="_xlnm.Print_Area" localSheetId="2">Boq!$A$1:$G$739</definedName>
    <definedName name="_xlnm.Print_Area" localSheetId="0">Cover!$A$1:$A$32</definedName>
    <definedName name="_xlnm.Print_Area" localSheetId="1">Summary!$A$1:$C$21</definedName>
    <definedName name="_xlnm.Print_Titles" localSheetId="2">Boq!$3:$3</definedName>
  </definedNames>
  <calcPr calcId="152511"/>
</workbook>
</file>

<file path=xl/calcChain.xml><?xml version="1.0" encoding="utf-8"?>
<calcChain xmlns="http://schemas.openxmlformats.org/spreadsheetml/2006/main">
  <c r="G485" i="1" l="1"/>
  <c r="G484" i="1"/>
  <c r="G483" i="1"/>
  <c r="I477" i="1"/>
  <c r="J477" i="1"/>
  <c r="I475" i="1"/>
  <c r="J394" i="1"/>
  <c r="I394" i="1"/>
  <c r="K394" i="1" l="1"/>
  <c r="J188" i="1"/>
  <c r="I188" i="1"/>
  <c r="I109" i="1" l="1"/>
  <c r="J160" i="1"/>
  <c r="I128" i="1"/>
  <c r="I106" i="1"/>
  <c r="I127" i="1"/>
  <c r="I126" i="1"/>
  <c r="I120" i="1"/>
  <c r="I121" i="1"/>
  <c r="K68" i="1"/>
  <c r="I99" i="1"/>
  <c r="J96" i="1"/>
  <c r="I96" i="1"/>
  <c r="I68" i="1"/>
  <c r="D77" i="1" l="1"/>
  <c r="G679" i="1" l="1"/>
  <c r="C17" i="2" s="1"/>
  <c r="G739" i="1"/>
  <c r="C18" i="2" s="1"/>
  <c r="D580" i="1"/>
  <c r="G580" i="1" s="1"/>
  <c r="D579" i="1"/>
  <c r="G579" i="1" s="1"/>
  <c r="G556" i="1"/>
  <c r="G553" i="1"/>
  <c r="D586" i="1"/>
  <c r="G586" i="1" s="1"/>
  <c r="D585" i="1"/>
  <c r="G585" i="1" s="1"/>
  <c r="D584" i="1"/>
  <c r="G584" i="1" s="1"/>
  <c r="D583" i="1"/>
  <c r="G583" i="1" s="1"/>
  <c r="D582" i="1"/>
  <c r="G582" i="1" s="1"/>
  <c r="D581" i="1"/>
  <c r="G581" i="1" s="1"/>
  <c r="G578" i="1"/>
  <c r="G567" i="1"/>
  <c r="G566" i="1"/>
  <c r="G565" i="1"/>
  <c r="G564" i="1"/>
  <c r="G563" i="1"/>
  <c r="G562" i="1"/>
  <c r="D561" i="1"/>
  <c r="G561" i="1" s="1"/>
  <c r="G560" i="1"/>
  <c r="G559" i="1"/>
  <c r="G558" i="1"/>
  <c r="G557" i="1"/>
  <c r="G555" i="1"/>
  <c r="G554" i="1"/>
  <c r="G552" i="1"/>
  <c r="G551" i="1"/>
  <c r="G550" i="1"/>
  <c r="G549" i="1"/>
  <c r="G548" i="1"/>
  <c r="G547" i="1"/>
  <c r="G546" i="1"/>
  <c r="G545" i="1"/>
  <c r="G543" i="1"/>
  <c r="G542" i="1"/>
  <c r="I488" i="1"/>
  <c r="J488" i="1" s="1"/>
  <c r="I484" i="1"/>
  <c r="J484" i="1"/>
  <c r="J475" i="1"/>
  <c r="G528" i="1"/>
  <c r="G527" i="1"/>
  <c r="G524" i="1"/>
  <c r="G523" i="1"/>
  <c r="G522" i="1"/>
  <c r="G521" i="1"/>
  <c r="G520" i="1"/>
  <c r="G519" i="1"/>
  <c r="G518" i="1"/>
  <c r="D517" i="1"/>
  <c r="G517" i="1" s="1"/>
  <c r="G516" i="1"/>
  <c r="D515" i="1"/>
  <c r="G515" i="1" s="1"/>
  <c r="D514" i="1"/>
  <c r="G514" i="1" s="1"/>
  <c r="D513" i="1"/>
  <c r="G513" i="1" s="1"/>
  <c r="D512" i="1"/>
  <c r="G512" i="1" s="1"/>
  <c r="G511" i="1"/>
  <c r="G510" i="1"/>
  <c r="G509" i="1"/>
  <c r="G508" i="1"/>
  <c r="G507" i="1"/>
  <c r="G506" i="1"/>
  <c r="G504" i="1"/>
  <c r="D441" i="1"/>
  <c r="D435" i="1"/>
  <c r="D392" i="1"/>
  <c r="D437" i="1" s="1"/>
  <c r="D330" i="1"/>
  <c r="D328" i="1"/>
  <c r="J339" i="1"/>
  <c r="I339" i="1"/>
  <c r="I313" i="1"/>
  <c r="L313" i="1"/>
  <c r="K313" i="1"/>
  <c r="J313" i="1"/>
  <c r="I315" i="1"/>
  <c r="G532" i="1" l="1"/>
  <c r="G588" i="1"/>
  <c r="K484" i="1"/>
  <c r="M313" i="1"/>
  <c r="K477" i="1"/>
  <c r="I397" i="1" l="1"/>
  <c r="J397" i="1" s="1"/>
  <c r="D325" i="1"/>
  <c r="D390" i="1" s="1"/>
  <c r="K339" i="1"/>
  <c r="G339" i="1"/>
  <c r="I337" i="1"/>
  <c r="G337" i="1"/>
  <c r="I336" i="1"/>
  <c r="J336" i="1" s="1"/>
  <c r="G336" i="1"/>
  <c r="K335" i="1"/>
  <c r="I335" i="1"/>
  <c r="J335" i="1" s="1"/>
  <c r="G335" i="1"/>
  <c r="G332" i="1"/>
  <c r="G330" i="1"/>
  <c r="G328" i="1"/>
  <c r="G326" i="1"/>
  <c r="G316" i="1"/>
  <c r="G315" i="1"/>
  <c r="I314" i="1"/>
  <c r="G314" i="1"/>
  <c r="G313" i="1"/>
  <c r="I312" i="1"/>
  <c r="G312" i="1"/>
  <c r="G311" i="1"/>
  <c r="M274" i="1"/>
  <c r="J274" i="1"/>
  <c r="K274" i="1" s="1"/>
  <c r="L274" i="1" s="1"/>
  <c r="I274" i="1"/>
  <c r="P272" i="1"/>
  <c r="N272" i="1"/>
  <c r="M272" i="1"/>
  <c r="I272" i="1"/>
  <c r="J272" i="1" s="1"/>
  <c r="L272" i="1" s="1"/>
  <c r="N269" i="1"/>
  <c r="O269" i="1" s="1"/>
  <c r="I269" i="1"/>
  <c r="J269" i="1" s="1"/>
  <c r="I233" i="1"/>
  <c r="J233" i="1" s="1"/>
  <c r="G279" i="1"/>
  <c r="G277" i="1"/>
  <c r="I237" i="1"/>
  <c r="K233" i="1"/>
  <c r="I232" i="1"/>
  <c r="J232" i="1" s="1"/>
  <c r="G278" i="1"/>
  <c r="G276" i="1"/>
  <c r="G233" i="1"/>
  <c r="G232" i="1"/>
  <c r="G231" i="1"/>
  <c r="I230" i="1"/>
  <c r="I229" i="1"/>
  <c r="J229" i="1" s="1"/>
  <c r="I358" i="1"/>
  <c r="J358" i="1" s="1"/>
  <c r="I360" i="1"/>
  <c r="J360" i="1" s="1"/>
  <c r="G360" i="1"/>
  <c r="I359" i="1"/>
  <c r="J359" i="1" s="1"/>
  <c r="G359" i="1"/>
  <c r="G358" i="1"/>
  <c r="I355" i="1"/>
  <c r="J355" i="1" s="1"/>
  <c r="L357" i="1" s="1"/>
  <c r="G355" i="1"/>
  <c r="I354" i="1"/>
  <c r="J354" i="1" s="1"/>
  <c r="G354" i="1"/>
  <c r="K269" i="1"/>
  <c r="L269" i="1" s="1"/>
  <c r="K225" i="1"/>
  <c r="L225" i="1" s="1"/>
  <c r="I225" i="1"/>
  <c r="J225" i="1" s="1"/>
  <c r="M96" i="1"/>
  <c r="N96" i="1" s="1"/>
  <c r="K96" i="1"/>
  <c r="J194" i="1"/>
  <c r="I194" i="1"/>
  <c r="I185" i="1"/>
  <c r="J185" i="1"/>
  <c r="K185" i="1"/>
  <c r="G194" i="1"/>
  <c r="G193" i="1"/>
  <c r="G191" i="1"/>
  <c r="G190" i="1"/>
  <c r="G188" i="1"/>
  <c r="G187" i="1"/>
  <c r="G185" i="1"/>
  <c r="G184" i="1"/>
  <c r="G183" i="1"/>
  <c r="G196" i="1"/>
  <c r="G198" i="1"/>
  <c r="G199" i="1"/>
  <c r="G325" i="1" l="1"/>
  <c r="G342" i="1" s="1"/>
  <c r="G380" i="1"/>
  <c r="L233" i="1"/>
  <c r="O272" i="1"/>
  <c r="Q272" i="1" s="1"/>
  <c r="J273" i="1" s="1"/>
  <c r="J361" i="1"/>
  <c r="K361" i="1" s="1"/>
  <c r="L335" i="1"/>
  <c r="K188" i="1"/>
  <c r="M269" i="1"/>
  <c r="P269" i="1" s="1"/>
  <c r="K194" i="1"/>
  <c r="M225" i="1"/>
  <c r="M185" i="1"/>
  <c r="K354" i="1"/>
  <c r="D74" i="1" l="1"/>
  <c r="K174" i="1"/>
  <c r="L174" i="1" s="1"/>
  <c r="M174" i="1" s="1"/>
  <c r="J164" i="1"/>
  <c r="I107" i="1"/>
  <c r="J156" i="1"/>
  <c r="K160" i="1"/>
  <c r="L160" i="1" s="1"/>
  <c r="L156" i="1"/>
  <c r="M156" i="1" s="1"/>
  <c r="K150" i="1"/>
  <c r="J146" i="1"/>
  <c r="K146" i="1" s="1"/>
  <c r="L146" i="1" s="1"/>
  <c r="I131" i="1"/>
  <c r="J131" i="1" s="1"/>
  <c r="I122" i="1"/>
  <c r="J122" i="1" s="1"/>
  <c r="I123" i="1"/>
  <c r="J123" i="1" s="1"/>
  <c r="J109" i="1"/>
  <c r="I112" i="1"/>
  <c r="K112" i="1" s="1"/>
  <c r="I105" i="1"/>
  <c r="I101" i="1"/>
  <c r="J101" i="1" s="1"/>
  <c r="I102" i="1"/>
  <c r="I100" i="1"/>
  <c r="L96" i="1"/>
  <c r="O96" i="1" s="1"/>
  <c r="J68" i="1"/>
  <c r="I69" i="1" s="1"/>
  <c r="J69" i="1" s="1"/>
  <c r="M68" i="1"/>
  <c r="N68" i="1" s="1"/>
  <c r="L68" i="1"/>
  <c r="O68" i="1" l="1"/>
  <c r="K69" i="1" s="1"/>
  <c r="K109" i="1"/>
  <c r="K168" i="1" s="1"/>
  <c r="P96" i="1"/>
  <c r="I60" i="1"/>
  <c r="L69" i="1" l="1"/>
  <c r="L109" i="1"/>
  <c r="L168" i="1"/>
  <c r="M168" i="1" s="1"/>
  <c r="G441" i="1"/>
  <c r="G281" i="1"/>
  <c r="D436" i="1" l="1"/>
  <c r="I168" i="1"/>
  <c r="I169" i="1" s="1"/>
  <c r="I73" i="1"/>
  <c r="G611" i="1" l="1"/>
  <c r="G610" i="1"/>
  <c r="G609" i="1"/>
  <c r="G608" i="1"/>
  <c r="G607" i="1"/>
  <c r="G606" i="1"/>
  <c r="G605" i="1"/>
  <c r="G604" i="1"/>
  <c r="G603" i="1"/>
  <c r="G619" i="1" l="1"/>
  <c r="C16" i="2" s="1"/>
  <c r="G473" i="1"/>
  <c r="G440" i="1" l="1"/>
  <c r="G230" i="1"/>
  <c r="G237" i="1"/>
  <c r="G236" i="1"/>
  <c r="G395" i="1" l="1"/>
  <c r="G397" i="1"/>
  <c r="G398" i="1"/>
  <c r="G399" i="1"/>
  <c r="G488" i="1"/>
  <c r="D479" i="1"/>
  <c r="D481" i="1" s="1"/>
  <c r="G481" i="1" s="1"/>
  <c r="G477" i="1"/>
  <c r="G475" i="1"/>
  <c r="G471" i="1"/>
  <c r="G394" i="1"/>
  <c r="G392" i="1"/>
  <c r="N274" i="1"/>
  <c r="L229" i="1"/>
  <c r="G479" i="1" l="1"/>
  <c r="O274" i="1"/>
  <c r="P274" i="1" s="1"/>
  <c r="Q274" i="1" s="1"/>
  <c r="G168" i="1"/>
  <c r="I156" i="1"/>
  <c r="I165" i="1"/>
  <c r="I164" i="1"/>
  <c r="I160" i="1"/>
  <c r="L150" i="1" l="1"/>
  <c r="M150" i="1" s="1"/>
  <c r="I150" i="1"/>
  <c r="I143" i="1"/>
  <c r="I151" i="1"/>
  <c r="G151" i="1"/>
  <c r="G150" i="1"/>
  <c r="I147" i="1"/>
  <c r="G147" i="1"/>
  <c r="I146" i="1"/>
  <c r="G146" i="1"/>
  <c r="G160" i="1"/>
  <c r="J102" i="1"/>
  <c r="I148" i="1" l="1"/>
  <c r="I152" i="1"/>
  <c r="D149" i="1" s="1"/>
  <c r="D197" i="1" l="1"/>
  <c r="G197" i="1" s="1"/>
  <c r="G165" i="1" l="1"/>
  <c r="G164" i="1"/>
  <c r="I161" i="1"/>
  <c r="G161" i="1"/>
  <c r="I157" i="1"/>
  <c r="G157" i="1"/>
  <c r="G156" i="1"/>
  <c r="G143" i="1"/>
  <c r="I140" i="1"/>
  <c r="G140" i="1"/>
  <c r="G131" i="1"/>
  <c r="I158" i="1" l="1"/>
  <c r="I166" i="1"/>
  <c r="I162" i="1"/>
  <c r="I141" i="1"/>
  <c r="D139" i="1" s="1"/>
  <c r="I144" i="1"/>
  <c r="D145" i="1"/>
  <c r="D148" i="1" s="1"/>
  <c r="G148" i="1" s="1"/>
  <c r="D152" i="1"/>
  <c r="G152" i="1" s="1"/>
  <c r="G128" i="1"/>
  <c r="G127" i="1"/>
  <c r="G126" i="1"/>
  <c r="G123" i="1"/>
  <c r="G122" i="1"/>
  <c r="G121" i="1"/>
  <c r="G120" i="1"/>
  <c r="D142" i="1" l="1"/>
  <c r="D144" i="1" s="1"/>
  <c r="G144" i="1" s="1"/>
  <c r="G149" i="1"/>
  <c r="G145" i="1"/>
  <c r="G142" i="1" l="1"/>
  <c r="F19" i="2" l="1"/>
  <c r="G469" i="1"/>
  <c r="G494" i="1" s="1"/>
  <c r="G175" i="1"/>
  <c r="G174" i="1"/>
  <c r="M333" i="1" l="1"/>
  <c r="M113" i="1" l="1"/>
  <c r="S174" i="1"/>
  <c r="S173" i="1"/>
  <c r="S172" i="1"/>
  <c r="S176" i="1"/>
  <c r="S175" i="1"/>
  <c r="D159" i="1" l="1"/>
  <c r="D155" i="1"/>
  <c r="D163" i="1"/>
  <c r="G163" i="1" l="1"/>
  <c r="D166" i="1"/>
  <c r="G166" i="1" s="1"/>
  <c r="G159" i="1"/>
  <c r="D162" i="1"/>
  <c r="G162" i="1" s="1"/>
  <c r="G155" i="1"/>
  <c r="D158" i="1"/>
  <c r="G158" i="1" s="1"/>
  <c r="G102" i="1" l="1"/>
  <c r="G101" i="1"/>
  <c r="G100" i="1"/>
  <c r="I63" i="1" l="1"/>
  <c r="G32" i="1"/>
  <c r="G269" i="1" l="1"/>
  <c r="G274" i="1" l="1"/>
  <c r="G273" i="1"/>
  <c r="G272" i="1"/>
  <c r="G271" i="1"/>
  <c r="G107" i="1" l="1"/>
  <c r="G106" i="1"/>
  <c r="G105" i="1"/>
  <c r="G390" i="1" l="1"/>
  <c r="G425" i="1" s="1"/>
  <c r="I175" i="1" l="1"/>
  <c r="I174" i="1"/>
  <c r="D141" i="1"/>
  <c r="G141" i="1" s="1"/>
  <c r="I176" i="1" l="1"/>
  <c r="D167" i="1" l="1"/>
  <c r="D169" i="1" l="1"/>
  <c r="G169" i="1" s="1"/>
  <c r="G167" i="1"/>
  <c r="C15" i="2" l="1"/>
  <c r="G112" i="1"/>
  <c r="G23" i="1" l="1"/>
  <c r="C13" i="2" l="1"/>
  <c r="G437" i="1" l="1"/>
  <c r="G228" i="1" l="1"/>
  <c r="G153" i="1" l="1"/>
  <c r="G109" i="1"/>
  <c r="G108" i="1"/>
  <c r="G99" i="1"/>
  <c r="G96" i="1"/>
  <c r="G79" i="1"/>
  <c r="G77" i="1"/>
  <c r="G76" i="1"/>
  <c r="G75" i="1"/>
  <c r="G74" i="1"/>
  <c r="G73" i="1"/>
  <c r="G69" i="1"/>
  <c r="G68" i="1"/>
  <c r="G67" i="1"/>
  <c r="G66" i="1"/>
  <c r="G65" i="1"/>
  <c r="G64" i="1"/>
  <c r="G63" i="1"/>
  <c r="G62" i="1"/>
  <c r="G61" i="1"/>
  <c r="G60" i="1"/>
  <c r="G59" i="1"/>
  <c r="G24" i="1"/>
  <c r="G25" i="1"/>
  <c r="G26" i="1"/>
  <c r="G27" i="1"/>
  <c r="G88" i="1" l="1"/>
  <c r="G436" i="1"/>
  <c r="G435" i="1"/>
  <c r="G22" i="1"/>
  <c r="G460" i="1" l="1"/>
  <c r="D173" i="1"/>
  <c r="G173" i="1" l="1"/>
  <c r="D176" i="1"/>
  <c r="G176" i="1" s="1"/>
  <c r="G31" i="1" l="1"/>
  <c r="G30" i="1"/>
  <c r="G28" i="1"/>
  <c r="G52" i="1" l="1"/>
  <c r="C14" i="2"/>
  <c r="C10" i="2"/>
  <c r="G229" i="1" l="1"/>
  <c r="G225" i="1" l="1"/>
  <c r="G303" i="1" s="1"/>
  <c r="C11" i="2" l="1"/>
  <c r="C6" i="2" l="1"/>
  <c r="G139" i="1" l="1"/>
  <c r="G215" i="1" s="1"/>
  <c r="C12" i="2" l="1"/>
  <c r="C9" i="2" l="1"/>
  <c r="C8" i="2" l="1"/>
  <c r="C5" i="2" l="1"/>
  <c r="C7" i="2" l="1"/>
  <c r="C21" i="2" s="1"/>
  <c r="C22" i="2" l="1"/>
  <c r="C23" i="2" s="1"/>
  <c r="F17" i="2"/>
  <c r="F21" i="2" l="1"/>
  <c r="F20" i="2"/>
</calcChain>
</file>

<file path=xl/sharedStrings.xml><?xml version="1.0" encoding="utf-8"?>
<sst xmlns="http://schemas.openxmlformats.org/spreadsheetml/2006/main" count="809" uniqueCount="467">
  <si>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</si>
  <si>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</si>
  <si>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</si>
  <si>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</si>
  <si>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</si>
  <si>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</si>
  <si>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</si>
  <si>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</si>
  <si>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</si>
  <si>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</si>
  <si>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</si>
  <si>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</si>
  <si>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</si>
  <si>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</si>
  <si>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</si>
  <si>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</si>
  <si>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</si>
  <si>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</si>
  <si>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</si>
  <si>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</si>
  <si>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</si>
  <si>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</si>
  <si>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</si>
  <si>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</si>
  <si>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</si>
  <si>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</si>
  <si>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</si>
  <si>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</si>
  <si>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</si>
  <si>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</si>
  <si>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</si>
  <si>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</si>
  <si>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</si>
  <si>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</si>
  <si>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</si>
  <si>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</si>
  <si>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</si>
  <si>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</si>
  <si>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</si>
  <si>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</si>
  <si>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</si>
  <si>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</si>
  <si>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</si>
  <si>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</si>
  <si>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</si>
  <si>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</si>
  <si>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</si>
  <si>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</si>
  <si>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</si>
  <si>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</si>
  <si>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</si>
  <si>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</si>
  <si>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</si>
  <si>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</si>
  <si>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</si>
  <si>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</si>
  <si>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</si>
  <si>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</si>
  <si>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</si>
  <si>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</si>
  <si>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</si>
  <si>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</si>
  <si>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GROUND FLOOR</t>
  </si>
  <si>
    <t>3.2</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</si>
  <si>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</si>
  <si>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</si>
  <si>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</si>
  <si>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</si>
  <si>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</si>
  <si>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</si>
  <si>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</si>
  <si>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</si>
  <si>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</si>
  <si>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</si>
  <si>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</si>
  <si>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</si>
  <si>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</si>
  <si>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</si>
  <si>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</si>
  <si>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</si>
  <si>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</si>
  <si>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</si>
  <si>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</si>
  <si>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</si>
  <si>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</si>
  <si>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</si>
  <si>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</si>
  <si>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</si>
  <si>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</si>
  <si>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</si>
  <si>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</si>
  <si>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</si>
  <si>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</si>
  <si>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GRAND TOTAL           Mrf</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</si>
  <si>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</si>
  <si>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</si>
  <si>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</si>
  <si>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</si>
  <si>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</si>
  <si>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</si>
  <si>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</si>
  <si>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</si>
  <si>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</si>
  <si>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</si>
  <si>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</si>
  <si>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</si>
  <si>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</si>
  <si>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</si>
  <si>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</si>
  <si>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</si>
  <si>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</si>
  <si>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</si>
  <si>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</si>
  <si>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</si>
  <si>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</si>
  <si>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</si>
  <si>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</si>
  <si>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</si>
  <si>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m</t>
  </si>
  <si>
    <t>TOTAL OF BILL No: 10 - Carried over to summary</t>
  </si>
  <si>
    <t>BILL No: 11</t>
  </si>
  <si>
    <t>HYDRAULICS &amp; DRAINAGE</t>
  </si>
  <si>
    <t>11.1</t>
  </si>
  <si>
    <t>TOTAL OF BILL No: 11 - Carried over to summary</t>
  </si>
  <si>
    <t>(a) Exposed surface shall have fair finish while remaining may have rough finish.</t>
  </si>
  <si>
    <t>t</t>
  </si>
  <si>
    <t>4.2</t>
  </si>
  <si>
    <t>4.3</t>
  </si>
  <si>
    <t>MASONRY</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</si>
  <si>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</si>
  <si>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</si>
  <si>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</si>
  <si>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</si>
  <si>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</si>
  <si>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</si>
  <si>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</si>
  <si>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</si>
  <si>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</si>
  <si>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</si>
  <si>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</si>
  <si>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</si>
  <si>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</si>
  <si>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</si>
  <si>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</si>
  <si>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</si>
  <si>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</si>
  <si>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</si>
  <si>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</si>
  <si>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</si>
  <si>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</si>
  <si>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</si>
  <si>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</si>
  <si>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</si>
  <si>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1.4</t>
  </si>
  <si>
    <t>WOOD WORK &amp;  CEILING</t>
  </si>
  <si>
    <t>1 )</t>
  </si>
  <si>
    <t>2 )</t>
  </si>
  <si>
    <t>PREPARED BY</t>
  </si>
  <si>
    <t>6.1</t>
  </si>
  <si>
    <t>7.2</t>
  </si>
  <si>
    <t>9.2</t>
  </si>
  <si>
    <t>COLUMNS</t>
  </si>
  <si>
    <t>TOTAL OF BILL No: 03 - Carried over to summary</t>
  </si>
  <si>
    <t>1.5</t>
  </si>
  <si>
    <t>3 )</t>
  </si>
  <si>
    <t>4 )</t>
  </si>
  <si>
    <t>5 )</t>
  </si>
  <si>
    <t>6 )</t>
  </si>
  <si>
    <t>7 )</t>
  </si>
  <si>
    <t>8 )</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</si>
  <si>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</si>
  <si>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</si>
  <si>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</si>
  <si>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</si>
  <si>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</si>
  <si>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</si>
  <si>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</si>
  <si>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</si>
  <si>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</si>
  <si>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</si>
  <si>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</si>
  <si>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</si>
  <si>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50mm thick sand blinding layer (1:10 - Cement &amp; Sand mix) to receive damp proof membrane below ground floor slab</t>
  </si>
  <si>
    <t>200mm thick Solid block wall</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</si>
  <si>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</si>
  <si>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</si>
  <si>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</si>
  <si>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</si>
  <si>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</si>
  <si>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</si>
  <si>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</si>
  <si>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DRAINAGE</t>
  </si>
  <si>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</si>
  <si>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</si>
  <si>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</si>
  <si>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</si>
  <si>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</si>
  <si>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</si>
  <si>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</si>
  <si>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</si>
  <si>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</si>
  <si>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</si>
  <si>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</si>
  <si>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</si>
  <si>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</si>
  <si>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</si>
  <si>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</si>
  <si>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</si>
  <si>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</si>
  <si>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</si>
  <si>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</si>
  <si>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</si>
  <si>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</si>
  <si>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</si>
  <si>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</si>
  <si>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</si>
  <si>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</si>
  <si>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</si>
  <si>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</si>
  <si>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</si>
  <si>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(a) Rates shall include for: leveling, grading, 
trimming and compacting.</t>
  </si>
  <si>
    <t>(b) Ground need to be compacted to the density 
required  by the consultant</t>
  </si>
  <si>
    <t>External Plastering</t>
  </si>
  <si>
    <t>Internal Plastering</t>
  </si>
  <si>
    <t>15mm thick Plastering</t>
  </si>
  <si>
    <t>(a) Rates shall include for: all labour in framing, notching and fitting around projections, pipes, light fittings, hatches, grilles and similar and complete with cleats, packers, wedges and similar and all nails,bolts &amp; screws.</t>
  </si>
  <si>
    <t>WATER PROOFING &amp; ADD MIXTURES</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</si>
  <si>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</si>
  <si>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</si>
  <si>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</si>
  <si>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</si>
  <si>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</si>
  <si>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</si>
  <si>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</si>
  <si>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</si>
  <si>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</si>
  <si>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</si>
  <si>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</si>
  <si>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</si>
  <si>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</si>
  <si>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FB1 - 200 x 300mm</t>
  </si>
  <si>
    <t>FB2 - 300 x 200mm</t>
  </si>
  <si>
    <t>ROOF  BEAMS</t>
  </si>
  <si>
    <t>RB1 (200 x 300mm)</t>
  </si>
  <si>
    <t>FB1 - 200 x  300mm</t>
  </si>
  <si>
    <t>ROOF BEAMS</t>
  </si>
  <si>
    <t>F1</t>
  </si>
  <si>
    <t>F2</t>
  </si>
  <si>
    <t>FB1</t>
  </si>
  <si>
    <t>FB2</t>
  </si>
  <si>
    <t>RB1, 200 x 300mm</t>
  </si>
  <si>
    <t>(c ) Rates shall include for; distribution steel, cleaning,  fabrication, placing, the provision for all necessary temporary fixings, and supports including chairs and tie wire , laps and wastage.</t>
  </si>
  <si>
    <t>200mm thick  block wall with 2 x 300 x 150 x 100mm solid blocks above foundation beams.</t>
  </si>
  <si>
    <t>BELOW THE ROOFING</t>
  </si>
  <si>
    <t>6mm thick Cement Board ceiling on 35 x 50mm size Timber frame - Eave ceiling</t>
  </si>
  <si>
    <t>ROOFING WORK</t>
  </si>
  <si>
    <t>ROOF TRUSSES</t>
  </si>
  <si>
    <t>TRUSS TR1</t>
  </si>
  <si>
    <t>TRUSS TR2</t>
  </si>
  <si>
    <t>C - PURLINS</t>
  </si>
  <si>
    <t xml:space="preserve">Supply and Installation of  C PURLINS 
(C 100 10) @ 900mm spacing as per drawing. Rate shall include for Primer coating, bolts,, nuts, Base plate etc.  </t>
  </si>
  <si>
    <t>mtr</t>
  </si>
  <si>
    <t>ROOFCOVERING</t>
  </si>
  <si>
    <t>Supply and Fixing BHP Lysaught Roofing sheet covering.</t>
  </si>
  <si>
    <t>INSULATION</t>
  </si>
  <si>
    <t>Supply &amp; Installation of 50mm thick two sided aluminium foiled Rock wool insulation laid as heat resistant under the roofing sheet.</t>
  </si>
  <si>
    <t>G.I.MESH</t>
  </si>
  <si>
    <t>Supply and Fixing 25mm Grid GI mesh to support Rock wool insulation.</t>
  </si>
  <si>
    <t>CAPPING</t>
  </si>
  <si>
    <t>7.0</t>
  </si>
  <si>
    <t>GUTTER</t>
  </si>
  <si>
    <t>Supply &amp; Fixing BHP Lysaght Gutter 150 x 200mm</t>
  </si>
  <si>
    <t>Supply &amp; Fixing Lysaght Ridge Capping</t>
  </si>
  <si>
    <t>7.3</t>
  </si>
  <si>
    <t>FASCIA BOARD</t>
  </si>
  <si>
    <t>Supply, Fabrication and Fixing Treated Timber Fascia board.</t>
  </si>
  <si>
    <t>1 x 15A Power Socket - P15 &amp; P16</t>
  </si>
  <si>
    <t>SITE MANAGEMENT COST</t>
  </si>
  <si>
    <t>SIGN BOARD</t>
  </si>
  <si>
    <t>LOGISTICS / EQUIPMENTS</t>
  </si>
  <si>
    <t>Charges for supply or shifting material to the site and Machines or equipments to be used for the project.</t>
  </si>
  <si>
    <t>100mm thick R.C. slab</t>
  </si>
  <si>
    <t>External walls 150mm thick</t>
  </si>
  <si>
    <t>150mm thick  block wall with  300 x 150 x 150mm solid blocks at Gable Ends above roof beam.</t>
  </si>
  <si>
    <t xml:space="preserve">External walls </t>
  </si>
  <si>
    <t>CONNECTION PIPE</t>
  </si>
  <si>
    <t>Supply and Fixing of  60.3 x 2.5mm CHS (G.I.Pipe) fixed at the bottom chord of the Truss as a connector member between trusses. Rate shall include for Primer coat, finishing coat  and all necessary fittings.</t>
  </si>
  <si>
    <t>8.0</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</si>
  <si>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</si>
  <si>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</si>
  <si>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</si>
  <si>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</si>
  <si>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</si>
  <si>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FIRE ALARM SYSTEM</t>
  </si>
  <si>
    <t>Heat Resistant cable shall be laid for connecting the detectors.</t>
  </si>
  <si>
    <t>CONVENTIONAL FIRE ALARM PANEL</t>
  </si>
  <si>
    <t>JUNCTION BOX</t>
  </si>
  <si>
    <t>PORTABLE EXTINGUISHER (H2O)</t>
  </si>
  <si>
    <t>PORTABLE EXTINGUISHER (CO2)</t>
  </si>
  <si>
    <t>SMOKE DETECTOR - F03</t>
  </si>
  <si>
    <t>EXIT SIGN LIGHT - L12</t>
  </si>
  <si>
    <t>FIRE ALARM BELL - F05</t>
  </si>
  <si>
    <t>RESETABLE BREAK GLASS MANUAL CALL POINT - F02</t>
  </si>
  <si>
    <t>12</t>
  </si>
  <si>
    <t>TOTAL           Mrf</t>
  </si>
  <si>
    <t>GST 6%           Mrf</t>
  </si>
  <si>
    <t>BILL No: 12</t>
  </si>
  <si>
    <t>BILL No: 12 - FIRE FIGHTING SYSTEM</t>
  </si>
  <si>
    <t>TOTAL OF BILL No: 12 - Carried over to summary</t>
  </si>
  <si>
    <r>
      <rPr>
        <b/>
        <sz val="9"/>
        <color theme="1"/>
        <rFont val="Times New Roman"/>
        <family val="1"/>
      </rPr>
      <t>200mm thick  block wall</t>
    </r>
    <r>
      <rPr>
        <sz val="9"/>
        <color theme="1"/>
        <rFont val="Times New Roman"/>
        <family val="1"/>
      </rPr>
      <t xml:space="preserve"> with 2 x 300 x 150 x 100mm solid blocks.</t>
    </r>
  </si>
  <si>
    <r>
      <rPr>
        <b/>
        <sz val="9"/>
        <color theme="1"/>
        <rFont val="Times New Roman"/>
        <family val="1"/>
      </rPr>
      <t xml:space="preserve">150mm thick  block wall </t>
    </r>
    <r>
      <rPr>
        <sz val="9"/>
        <color theme="1"/>
        <rFont val="Times New Roman"/>
        <family val="1"/>
      </rPr>
      <t>with 300 x 150 x 150mm solid blocks.</t>
    </r>
  </si>
  <si>
    <t>(d) Each Light/ light fixture and its switch is measured as one one point; similarly each fan or each socket outlet is measured as one point;</t>
  </si>
  <si>
    <t>(e) Rates shall include for supply and complete installation of fittings and fixtures.</t>
  </si>
  <si>
    <t>BILL No: 13</t>
  </si>
  <si>
    <t>ADDITIONS</t>
  </si>
  <si>
    <t>BILL No: 13 - ADDITIONS</t>
  </si>
  <si>
    <t>TOTAL OF BILL No: 13 - Carried over to summary</t>
  </si>
  <si>
    <t>BILL No: 14</t>
  </si>
  <si>
    <t>OMISSIONS</t>
  </si>
  <si>
    <t>BILL No: 14 - OMISSIONS</t>
  </si>
  <si>
    <t>TOTAL OF BILL No: 14 - Carried over to summary</t>
  </si>
  <si>
    <t>13</t>
  </si>
  <si>
    <t>14</t>
  </si>
  <si>
    <t>(b)</t>
  </si>
  <si>
    <t>(c)</t>
  </si>
  <si>
    <t>4.4</t>
  </si>
  <si>
    <t>PLASTERING ADMIXTURE</t>
  </si>
  <si>
    <r>
      <t xml:space="preserve">(c)Rate shall include for </t>
    </r>
    <r>
      <rPr>
        <b/>
        <sz val="9"/>
        <rFont val="Times New Roman"/>
        <family val="1"/>
      </rPr>
      <t>Nippon brand weather proof  pain</t>
    </r>
    <r>
      <rPr>
        <sz val="9"/>
        <rFont val="Times New Roman"/>
        <family val="1"/>
      </rPr>
      <t xml:space="preserve">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</si>
  <si>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Painting, </t>
    </r>
    <r>
      <rPr>
        <b/>
        <sz val="9"/>
        <rFont val="Times New Roman"/>
        <family val="1"/>
      </rPr>
      <t xml:space="preserve">Nippon brand weather bond paint, </t>
    </r>
    <r>
      <rPr>
        <sz val="9"/>
        <rFont val="Times New Roman"/>
        <family val="1"/>
      </rPr>
      <t>exterior surfaces of External Wall, Columns &amp; beams.</t>
    </r>
  </si>
  <si>
    <r>
      <t xml:space="preserve">Painting, </t>
    </r>
    <r>
      <rPr>
        <b/>
        <sz val="9"/>
        <rFont val="Times New Roman"/>
        <family val="1"/>
      </rPr>
      <t>Nippon brand Emulsion paint,</t>
    </r>
    <r>
      <rPr>
        <sz val="9"/>
        <rFont val="Times New Roman"/>
        <family val="1"/>
      </rPr>
      <t xml:space="preserve">  interior surfaces Wall, Columns &amp; beams) </t>
    </r>
  </si>
  <si>
    <r>
      <t xml:space="preserve">Painting, </t>
    </r>
    <r>
      <rPr>
        <b/>
        <sz val="9"/>
        <rFont val="Times New Roman"/>
        <family val="1"/>
      </rPr>
      <t>Nippon brand Emulsion paint</t>
    </r>
    <r>
      <rPr>
        <sz val="9"/>
        <rFont val="Times New Roman"/>
        <family val="1"/>
      </rPr>
      <t>,  Soffit of Cement board Ceiling.</t>
    </r>
  </si>
  <si>
    <r>
      <t xml:space="preserve">Painting, </t>
    </r>
    <r>
      <rPr>
        <b/>
        <sz val="9"/>
        <rFont val="Times New Roman"/>
        <family val="1"/>
      </rPr>
      <t>Nippon brand Emulsion paint</t>
    </r>
    <r>
      <rPr>
        <sz val="9"/>
        <rFont val="Times New Roman"/>
        <family val="1"/>
      </rPr>
      <t>,  Eave Ceiling.</t>
    </r>
  </si>
  <si>
    <t>CLIENT</t>
  </si>
  <si>
    <t>MINISTRY OF EDUCATION</t>
  </si>
  <si>
    <t>REPUBLIC OF MALDIVES</t>
  </si>
  <si>
    <t>BILL OF QUANTITIES</t>
  </si>
  <si>
    <r>
      <t xml:space="preserve">d ) </t>
    </r>
    <r>
      <rPr>
        <b/>
        <sz val="9"/>
        <rFont val="Times New Roman"/>
        <family val="1"/>
      </rPr>
      <t>All firefighting system / equipments and fixtures has to be specified approved brand by Fire fighting department of MNDF prior to the installation.</t>
    </r>
    <r>
      <rPr>
        <sz val="9"/>
        <rFont val="Times New Roman"/>
        <family val="1"/>
      </rPr>
      <t xml:space="preserve"> </t>
    </r>
    <r>
      <rPr>
        <b/>
        <sz val="9"/>
        <rFont val="Times New Roman"/>
        <family val="1"/>
      </rPr>
      <t>Shop drawings of the system shall be prepared to the standard of Fire fighting department of MNDF and submitted to the Consultant for approval.</t>
    </r>
  </si>
  <si>
    <t>C1 , 200 x 200mm x 21nos: (4075mm H)</t>
  </si>
  <si>
    <t>C2 , 200 x 200mm x 08nos: (3225mm H)</t>
  </si>
  <si>
    <t>C1 , 200 x 200mm x 18nos:</t>
  </si>
  <si>
    <t>SC, 150 x 150 x 07nos: x 4075mm</t>
  </si>
  <si>
    <t>SC, 150 x 150 x 07nos:</t>
  </si>
  <si>
    <t>250mm thick highly compacted hard core below ground floor slab</t>
  </si>
  <si>
    <r>
      <t xml:space="preserve">(a) Excavation quantities are measured to the faces of concrete members. Rates shall include for all </t>
    </r>
    <r>
      <rPr>
        <b/>
        <sz val="9"/>
        <rFont val="Times New Roman"/>
        <family val="1"/>
      </rPr>
      <t xml:space="preserve">additional excavation required to place the formwork , back fill , dewatering and others </t>
    </r>
  </si>
  <si>
    <t>EXCAVATION</t>
  </si>
  <si>
    <t>BACK FILLING</t>
  </si>
  <si>
    <t>2.5</t>
  </si>
  <si>
    <t>WINDOW SILL &amp; LINTELS</t>
  </si>
  <si>
    <t>R.C. FINS</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</si>
  <si>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</si>
  <si>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</si>
  <si>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</si>
  <si>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</si>
  <si>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r>
      <t xml:space="preserve">Charges for construction of 200 x 100mm thick </t>
    </r>
    <r>
      <rPr>
        <b/>
        <sz val="9"/>
        <color theme="1"/>
        <rFont val="Times New Roman"/>
        <family val="1"/>
      </rPr>
      <t>R.c.c.Fins</t>
    </r>
    <r>
      <rPr>
        <sz val="9"/>
        <color theme="1"/>
        <rFont val="Times New Roman"/>
        <family val="1"/>
      </rPr>
      <t xml:space="preserve"> and 200 x 100mm LEDGE as per details. (Refer drawing no:A 15) Rate shall include for Shuttering and Reinforcement work complete. </t>
    </r>
  </si>
  <si>
    <t xml:space="preserve">Charges for construction of R.c.c. Sills and Lintels for the windows and doors as per details. Rate shall include for shuttering and Reinforcement works complete. </t>
  </si>
  <si>
    <t xml:space="preserve">Charges for Construction and  Installation of 75mm thick R.c.c. Counter slab for washbasin at Toilet block as per drawing details. Rate shall include for; form work, reinforcement etc complete. </t>
  </si>
  <si>
    <t>DOOR UNITS</t>
  </si>
  <si>
    <t>D3 - Solid Timber framed door with Soild Timber door panel, 780 x 2000mm.</t>
  </si>
  <si>
    <t>WINDOW UNITS</t>
  </si>
  <si>
    <t>W1 - Coated Aluminium framed Window with Openable glass panels and Fixed aluminium louvered panels &amp; glass panels at top, 2450 x 1700mm</t>
  </si>
  <si>
    <t>W3 - Coated Aluminium framed Window with Fixed aluminium louvered panels, 700 x 550mm</t>
  </si>
  <si>
    <t>Interior walls</t>
  </si>
  <si>
    <r>
      <t xml:space="preserve">300x150x100mm solid block </t>
    </r>
    <r>
      <rPr>
        <b/>
        <sz val="9"/>
        <color theme="1"/>
        <rFont val="Times New Roman"/>
        <family val="1"/>
      </rPr>
      <t>Double</t>
    </r>
    <r>
      <rPr>
        <sz val="9"/>
        <color theme="1"/>
        <rFont val="Times New Roman"/>
        <family val="1"/>
      </rPr>
      <t xml:space="preserve"> wall - 200mm thick</t>
    </r>
  </si>
  <si>
    <t>300x150x150mm Solid block wall - 150mm thick</t>
  </si>
  <si>
    <t>BELOW GROUND SLAB</t>
  </si>
  <si>
    <t>Both surface of Wall &amp; Columns below 
ground floor slab</t>
  </si>
  <si>
    <t>External wall and Concrete surfaces.</t>
  </si>
  <si>
    <t>Internal face of external wall &amp; Concrete surfaces and both surface of Interior walls &amp; Concrete surfaces</t>
  </si>
  <si>
    <t>Interior walls &amp; Concrete surfaces</t>
  </si>
  <si>
    <t>Class rooms</t>
  </si>
  <si>
    <t xml:space="preserve">Corridor / wash </t>
  </si>
  <si>
    <t>Cleaners' Closet</t>
  </si>
  <si>
    <t>Entrance Steps</t>
  </si>
  <si>
    <t>Toilet</t>
  </si>
  <si>
    <t>300 x 300mm Non slip Ceramic Tiles</t>
  </si>
  <si>
    <t>WALL TILING</t>
  </si>
  <si>
    <t>Toilet walls @ 3M height</t>
  </si>
  <si>
    <t>Wash room walls @ 1.8m H</t>
  </si>
  <si>
    <t>Vanity Counter</t>
  </si>
  <si>
    <t>C )</t>
  </si>
  <si>
    <t>Acoustic Palster board Ceiling on Aluminium frame -  Class rooms</t>
  </si>
  <si>
    <t>9mm thick Cement Board ceiling on 35 x 50mm size Timber frame - Corridor / Wash / Cleaner's Closet/Toilet</t>
  </si>
  <si>
    <t>HYDRAULICS</t>
  </si>
  <si>
    <t>Charges for Piping for  fresh water Pipe work</t>
  </si>
  <si>
    <t>Charges for Piping for Ground water supply pipe work.</t>
  </si>
  <si>
    <t>Charges for Providing  and Fixing Heavy duty water pump Davey brand for Ground water supply to all floors - ground water net work.</t>
  </si>
  <si>
    <t>SANITARY FIXTURES &amp;ACCESSORIES</t>
  </si>
  <si>
    <t>WC with basin</t>
  </si>
  <si>
    <t>Wash basin with trap including counter slab</t>
  </si>
  <si>
    <t>Wash basin tap</t>
  </si>
  <si>
    <t xml:space="preserve">Toilet paper holder </t>
  </si>
  <si>
    <t xml:space="preserve">Mirror set </t>
  </si>
  <si>
    <t xml:space="preserve">Muslim Shower </t>
  </si>
  <si>
    <t xml:space="preserve">Floor drain with trap </t>
  </si>
  <si>
    <t>Water taps</t>
  </si>
  <si>
    <t>Ball valve</t>
  </si>
  <si>
    <t>Stop valves</t>
  </si>
  <si>
    <t>Angle Valve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</si>
  <si>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</si>
  <si>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</si>
  <si>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</si>
  <si>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</si>
  <si>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Supply, Fabrication and Installation of  TR1, 5.85m Length, as per drawing. Rate shall include for Primer coating, bolts, nuts, Base plate etc.  (Refer drawing S07)</t>
  </si>
  <si>
    <t>Supply, Fabrication and Installation of  TR2, 3.0m Length, as per drawing. Rate shall include for Primer coating, bolts,, nuts, Base plate etc.   (Refer drawing S08)</t>
  </si>
  <si>
    <t>Supply &amp; Fixing Lysaght Flashing - Gable end</t>
  </si>
  <si>
    <t xml:space="preserve">Supply and Installation of  STELCO approved brand (Hager / Legrand) Distribution board </t>
  </si>
  <si>
    <t>b.1</t>
  </si>
  <si>
    <t>Distribution board for Power Points</t>
  </si>
  <si>
    <t>b.2</t>
  </si>
  <si>
    <t>Distribution board for Light Points</t>
  </si>
  <si>
    <t>Ceiling Light - L 07</t>
  </si>
  <si>
    <t>Ceiling Light - L10</t>
  </si>
  <si>
    <t>Ceiling Light - L15</t>
  </si>
  <si>
    <t>Wall mount weather proof light - L17</t>
  </si>
  <si>
    <t>Ceiling Fan, dia. 1200</t>
  </si>
  <si>
    <t>1 Gang 1 way Switch - P19</t>
  </si>
  <si>
    <t>2 Gang 1 way Switch - P20</t>
  </si>
  <si>
    <t>3 Gang 1 way Switch - P21</t>
  </si>
  <si>
    <t>4 Gang 1 way Switch - P22</t>
  </si>
  <si>
    <t>Fan Dimmer Switch - P23</t>
  </si>
  <si>
    <t>Telephone Socket outlet - T01</t>
  </si>
  <si>
    <t>Computer Network Socket outlet - T02</t>
  </si>
  <si>
    <t>TV  Socket outlet - T10</t>
  </si>
  <si>
    <t>Sound system - Speaker - T11</t>
  </si>
  <si>
    <t>VGA Sockets - VGA 01 &amp; VGA 02</t>
  </si>
  <si>
    <t>Multimedia Projector with Stand - MP01</t>
  </si>
  <si>
    <t>Cabling to TV points</t>
  </si>
  <si>
    <t>Cabling - Telephone  points</t>
  </si>
  <si>
    <t>Cabling - Data Network points (Cat 06)</t>
  </si>
  <si>
    <t>VGA Cabling -  Multimedia Projector</t>
  </si>
  <si>
    <t>Cabling - Speaker System</t>
  </si>
  <si>
    <t>Exhaust Fan (Mechanical Ventilator)</t>
  </si>
  <si>
    <t xml:space="preserve">2 x 13A Power Socket - P02 </t>
  </si>
  <si>
    <t>1 x 13A Power Socket (WP) - P17</t>
  </si>
  <si>
    <t>PROJECT :  GA.VILLIGILI SCHOOL ( 03 CLASS ROOM BLOCK)</t>
  </si>
  <si>
    <t>(c) Ground water connection shall be made as specified in the drawings.</t>
  </si>
  <si>
    <t>(e) All pipes shall be High Pressure  uPVC "Mutha" or equivalent brand.</t>
  </si>
  <si>
    <t>PROJECT: GA. VILLIGILI ( 03 CLASS ROOM BLOCK)</t>
  </si>
  <si>
    <t xml:space="preserve">Provision  to include missing quantities, if any,  as per the drawing </t>
  </si>
  <si>
    <t>Provision to omit excess quantities, if any, as per the drawing.</t>
  </si>
  <si>
    <t>F1 - 700 x 700 x 300mm x 18nos</t>
  </si>
  <si>
    <t>F2 - 850 x  850 x 300mm x 03nos</t>
  </si>
  <si>
    <t>F2 - 850 x 850 x 300mm x 03no:</t>
  </si>
  <si>
    <t>C2 , 200 x 200mm x 08nos: (3215mm H)</t>
  </si>
  <si>
    <t>C2, 200 x 200mm x 8nos</t>
  </si>
  <si>
    <t>a</t>
  </si>
  <si>
    <t>b</t>
  </si>
  <si>
    <t>c</t>
  </si>
  <si>
    <t xml:space="preserve">Supply &amp; Fixing 150 x 150mm Lysaght Flashing to be fixed above Lower roof to the building wall to prevent water leakage. (Refer Section YY)  </t>
  </si>
  <si>
    <r>
      <t xml:space="preserve">Supply and Installation of approved / tested 2 KWH meters. </t>
    </r>
    <r>
      <rPr>
        <b/>
        <sz val="10"/>
        <rFont val="Times New Roman"/>
        <family val="1"/>
      </rPr>
      <t>Rate shall</t>
    </r>
    <r>
      <rPr>
        <sz val="10"/>
        <rFont val="Times New Roman"/>
        <family val="1"/>
      </rPr>
      <t xml:space="preserve"> </t>
    </r>
    <r>
      <rPr>
        <b/>
        <sz val="10"/>
        <rFont val="Times New Roman"/>
        <family val="1"/>
      </rPr>
      <t>include Supply &amp; Laying Main cable and connecting to adjacent Transformer / Panel board to the building Panel board.</t>
    </r>
  </si>
  <si>
    <r>
      <t xml:space="preserve">Apply Rubberised bitumin water proofing paint, </t>
    </r>
    <r>
      <rPr>
        <b/>
        <sz val="9"/>
        <color theme="1"/>
        <rFont val="Times New Roman"/>
        <family val="1"/>
      </rPr>
      <t>Conmix</t>
    </r>
    <r>
      <rPr>
        <sz val="9"/>
        <color theme="1"/>
        <rFont val="Times New Roman"/>
        <family val="1"/>
      </rPr>
      <t xml:space="preserve"> </t>
    </r>
    <r>
      <rPr>
        <b/>
        <sz val="9"/>
        <color theme="1"/>
        <rFont val="Times New Roman"/>
        <family val="1"/>
      </rPr>
      <t>Moya Shield RBE or equivalent,</t>
    </r>
    <r>
      <rPr>
        <sz val="9"/>
        <color theme="1"/>
        <rFont val="Times New Roman"/>
        <family val="1"/>
      </rPr>
      <t xml:space="preserve"> 2 coats to all exposed concrete and masonry surface below ground level.</t>
    </r>
  </si>
  <si>
    <r>
      <t xml:space="preserve">Charges to Add approved water proofing admixture </t>
    </r>
    <r>
      <rPr>
        <b/>
        <sz val="9"/>
        <color theme="1"/>
        <rFont val="Times New Roman"/>
        <family val="1"/>
      </rPr>
      <t>Conmix</t>
    </r>
    <r>
      <rPr>
        <sz val="9"/>
        <color theme="1"/>
        <rFont val="Times New Roman"/>
        <family val="1"/>
      </rPr>
      <t xml:space="preserve"> </t>
    </r>
    <r>
      <rPr>
        <b/>
        <sz val="9"/>
        <color theme="1"/>
        <rFont val="Times New Roman"/>
        <family val="1"/>
      </rPr>
      <t>Mega Add WL1 or equivalent</t>
    </r>
    <r>
      <rPr>
        <sz val="9"/>
        <color theme="1"/>
        <rFont val="Times New Roman"/>
        <family val="1"/>
      </rPr>
      <t xml:space="preserve"> as per specification to all concrete below ground level.</t>
    </r>
  </si>
  <si>
    <r>
      <t xml:space="preserve">Chatrges to Add Plasticiser admixture </t>
    </r>
    <r>
      <rPr>
        <b/>
        <sz val="9"/>
        <color theme="1"/>
        <rFont val="Times New Roman"/>
        <family val="1"/>
      </rPr>
      <t>Conmix</t>
    </r>
    <r>
      <rPr>
        <sz val="9"/>
        <color theme="1"/>
        <rFont val="Times New Roman"/>
        <family val="1"/>
      </rPr>
      <t xml:space="preserve"> </t>
    </r>
    <r>
      <rPr>
        <b/>
        <sz val="9"/>
        <color theme="1"/>
        <rFont val="Times New Roman"/>
        <family val="1"/>
      </rPr>
      <t>Mega Flow P or equivalent</t>
    </r>
    <r>
      <rPr>
        <sz val="9"/>
        <color theme="1"/>
        <rFont val="Times New Roman"/>
        <family val="1"/>
      </rPr>
      <t xml:space="preserve"> as per specification to all concrete Substreucture and Super structure.</t>
    </r>
  </si>
  <si>
    <r>
      <t xml:space="preserve">Charges for Plastering admixture </t>
    </r>
    <r>
      <rPr>
        <b/>
        <sz val="9"/>
        <color theme="1"/>
        <rFont val="Times New Roman"/>
        <family val="1"/>
      </rPr>
      <t>Conmix Megaflow MP or equivalent</t>
    </r>
    <r>
      <rPr>
        <sz val="9"/>
        <color theme="1"/>
        <rFont val="Times New Roman"/>
        <family val="1"/>
      </rPr>
      <t xml:space="preserve"> to be mixed with the plastering mortar to all External and Interior plastering works.</t>
    </r>
  </si>
  <si>
    <r>
      <t xml:space="preserve">(c) Tiles for bed rooms, offices, Kitchen, Living, Dining, corridors, all general areas shall be </t>
    </r>
    <r>
      <rPr>
        <b/>
        <sz val="9"/>
        <rFont val="Times New Roman"/>
        <family val="1"/>
      </rPr>
      <t>600 x 600mm Ceramic tiles.</t>
    </r>
  </si>
  <si>
    <t>(d) Toilet wall tiles shall be 300 x 600 mm size ceramic  tiles including designed border tiles and Toilet Floor Tiles shall  be 300 x 300mm Non- Slip ceramicTiles.</t>
  </si>
  <si>
    <t>600 x 600mm Ceramic tiles</t>
  </si>
  <si>
    <t>600 x 600mm Non Slip Ceramic tiles</t>
  </si>
  <si>
    <t>Ceramic Step Tiles</t>
  </si>
  <si>
    <t>Skirting - 600 x 100mm Ceramic Tiles</t>
  </si>
  <si>
    <t>300 x 600mm Ceramic Wall Tiles.  (Rate shall include for 300 x 100mm Design border tiles @ 1200mm high on toilet walls)</t>
  </si>
  <si>
    <r>
      <t xml:space="preserve">D1 - Solid Timber framed door with Soild Timber door panel, 950 x 2830mm. </t>
    </r>
    <r>
      <rPr>
        <b/>
        <sz val="9"/>
        <rFont val="Times New Roman"/>
        <family val="1"/>
      </rPr>
      <t>All glazed fix panels shall be single glazed panels.</t>
    </r>
  </si>
  <si>
    <r>
      <t xml:space="preserve">W2 - Coated Aluminium framed Window with Openable sliding glass panels, </t>
    </r>
    <r>
      <rPr>
        <b/>
        <sz val="9"/>
        <rFont val="Times New Roman"/>
        <family val="1"/>
      </rPr>
      <t>6mm clear glass</t>
    </r>
    <r>
      <rPr>
        <sz val="9"/>
        <rFont val="Times New Roman"/>
        <family val="1"/>
      </rPr>
      <t xml:space="preserve"> 1575 x 1000mm</t>
    </r>
  </si>
  <si>
    <t>(d) All louvres, windows and sliding doors shall be  40 micron powder coated aluminium as per details given in Door/Window schedule.</t>
  </si>
  <si>
    <r>
      <t xml:space="preserve">(d)Rate shall include for </t>
    </r>
    <r>
      <rPr>
        <b/>
        <sz val="9"/>
        <rFont val="Times New Roman"/>
        <family val="1"/>
      </rPr>
      <t>Conmix Conputty or equivalent</t>
    </r>
    <r>
      <rPr>
        <sz val="9"/>
        <rFont val="Times New Roman"/>
        <family val="1"/>
      </rPr>
      <t xml:space="preserve"> and </t>
    </r>
    <r>
      <rPr>
        <b/>
        <sz val="9"/>
        <rFont val="Times New Roman"/>
        <family val="1"/>
      </rPr>
      <t>Nippon brand Emulsion paint</t>
    </r>
    <r>
      <rPr>
        <sz val="9"/>
        <rFont val="Times New Roman"/>
        <family val="1"/>
      </rPr>
      <t xml:space="preserve">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</si>
  <si>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(Only for indicative purposes)</t>
  </si>
  <si>
    <t>GA. VILLIGILI AEC
( 03 CLASS ROOM BLOCK)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</si>
</sst>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0_);_(* \(#,##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sz val="11"/>
      <color theme="1"/>
      <name val="Arial Black"/>
      <family val="2"/>
    </font>
    <font>
      <b/>
      <sz val="22"/>
      <color theme="5"/>
      <name val="Arial Black"/>
      <family val="2"/>
    </font>
    <font>
      <b/>
      <sz val="22"/>
      <color rgb="FFFF0000"/>
      <name val="Arial Black"/>
      <family val="2"/>
    </font>
    <font>
      <b/>
      <u/>
      <sz val="11"/>
      <color theme="1"/>
      <name val="Arial Black"/>
      <family val="2"/>
    </font>
    <font>
      <b/>
      <sz val="11"/>
      <color theme="1"/>
      <name val="Arial Black"/>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7">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bottom/>
      <diagonal/>
    </border>
    <border>
      <left/>
      <right style="medium">
        <color auto="1"/>
      </right>
      <top/>
      <bottom/>
      <diagonal/>
    </border>
    <border>
      <left/>
      <right style="medium">
        <color auto="1"/>
      </right>
      <top style="medium">
        <color auto="1"/>
      </top>
      <bottom/>
      <diagonal/>
    </border>
    <border>
      <left/>
      <right style="medium">
        <color auto="1"/>
      </right>
      <top/>
      <bottom style="medium">
        <color auto="1"/>
      </bottom>
      <diagonal/>
    </border>
    <border>
      <left style="thin">
        <color auto="1"/>
      </left>
      <right/>
      <top/>
      <bottom style="medium">
        <color auto="1"/>
      </bottom>
      <diagonal/>
    </border>
    <border>
      <left/>
      <right/>
      <top/>
      <bottom style="medium">
        <color auto="1"/>
      </bottom>
      <diagonal/>
    </border>
    <border>
      <left/>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diagonal/>
    </border>
    <border>
      <left/>
      <right style="thin">
        <color auto="1"/>
      </right>
      <top style="thin">
        <color auto="1"/>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457">
    <xf numFmtId="0" fontId="0" fillId="0" borderId="0" xfId="0"/>
    <xf numFmtId="49" fontId="3" fillId="2" borderId="3" xfId="0" applyNumberFormat="1" applyFont="1" applyFill="1" applyBorder="1"/>
    <xf numFmtId="0" fontId="3" fillId="2" borderId="3" xfId="0" applyFont="1" applyFill="1" applyBorder="1"/>
    <xf numFmtId="43"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43"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8" fillId="2" borderId="10" xfId="0" applyNumberFormat="1" applyFont="1" applyFill="1" applyBorder="1"/>
    <xf numFmtId="0" fontId="8" fillId="2" borderId="11" xfId="0" applyFont="1" applyFill="1" applyBorder="1"/>
    <xf numFmtId="0" fontId="9" fillId="2" borderId="12" xfId="0" applyFont="1" applyFill="1" applyBorder="1" applyAlignment="1">
      <alignment horizontal="center"/>
    </xf>
    <xf numFmtId="49" fontId="8" fillId="2" borderId="13" xfId="0" applyNumberFormat="1" applyFont="1" applyFill="1" applyBorder="1"/>
    <xf numFmtId="0" fontId="8" fillId="2" borderId="14" xfId="0" applyFont="1" applyFill="1" applyBorder="1"/>
    <xf numFmtId="0" fontId="9" fillId="2" borderId="15" xfId="0" applyFont="1" applyFill="1" applyBorder="1" applyAlignment="1">
      <alignment horizontal="center"/>
    </xf>
    <xf numFmtId="49" fontId="3" fillId="2" borderId="4" xfId="0" applyNumberFormat="1" applyFont="1" applyFill="1" applyBorder="1"/>
    <xf numFmtId="0" fontId="9" fillId="2" borderId="5" xfId="0" applyFont="1" applyFill="1" applyBorder="1" applyAlignment="1">
      <alignment horizontal="center"/>
    </xf>
    <xf numFmtId="43" fontId="9" fillId="2" borderId="6" xfId="0" applyNumberFormat="1"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43" fontId="12" fillId="3" borderId="1" xfId="1" applyNumberFormat="1" applyFont="1" applyFill="1" applyBorder="1" applyAlignment="1">
      <alignment horizontal="center"/>
    </xf>
    <xf numFmtId="43" fontId="11" fillId="0" borderId="0" xfId="0" applyNumberFormat="1" applyFont="1" applyAlignment="1">
      <alignment horizontal="center" vertical="center"/>
    </xf>
    <xf numFmtId="0" fontId="11" fillId="0" borderId="1" xfId="0" applyFont="1" applyBorder="1" applyAlignment="1">
      <alignment horizontal="center"/>
    </xf>
    <xf numFmtId="43" fontId="11" fillId="0" borderId="1" xfId="1" applyNumberFormat="1" applyFont="1" applyBorder="1"/>
    <xf numFmtId="43" fontId="11" fillId="0" borderId="0" xfId="0" applyNumberFormat="1" applyFont="1"/>
    <xf numFmtId="0" fontId="17" fillId="0" borderId="0" xfId="0" applyFont="1"/>
    <xf numFmtId="0" fontId="11" fillId="0" borderId="1" xfId="0" applyFont="1" applyBorder="1"/>
    <xf numFmtId="0" fontId="11" fillId="0" borderId="0" xfId="0" applyFont="1" applyAlignment="1">
      <alignment vertical="top"/>
    </xf>
    <xf numFmtId="49" fontId="11" fillId="0" borderId="0" xfId="0" applyNumberFormat="1" applyFont="1"/>
    <xf numFmtId="165" fontId="11" fillId="0" borderId="0" xfId="1" applyNumberFormat="1" applyFont="1"/>
    <xf numFmtId="165" fontId="11" fillId="0" borderId="1" xfId="1" applyNumberFormat="1" applyFont="1" applyBorder="1"/>
    <xf numFmtId="0" fontId="11" fillId="3" borderId="0" xfId="0" applyFont="1" applyFill="1"/>
    <xf numFmtId="0" fontId="18" fillId="6" borderId="1" xfId="0" applyFont="1" applyFill="1" applyBorder="1"/>
    <xf numFmtId="43" fontId="17" fillId="6" borderId="1" xfId="1" applyNumberFormat="1" applyFont="1" applyFill="1" applyBorder="1"/>
    <xf numFmtId="0" fontId="0" fillId="0" borderId="0" xfId="0" applyAlignment="1">
      <alignment vertical="center"/>
    </xf>
    <xf numFmtId="43" fontId="17" fillId="0" borderId="1" xfId="1" applyNumberFormat="1" applyFont="1" applyBorder="1"/>
    <xf numFmtId="0" fontId="17" fillId="0" borderId="0" xfId="0" applyFont="1" applyAlignment="1">
      <alignment horizontal="center" vertical="center"/>
    </xf>
    <xf numFmtId="0" fontId="21" fillId="0" borderId="0" xfId="0" applyFont="1" applyAlignment="1">
      <alignment horizontal="center" vertical="center"/>
    </xf>
    <xf numFmtId="43" fontId="11" fillId="3" borderId="0" xfId="0" applyNumberFormat="1" applyFont="1" applyFill="1"/>
    <xf numFmtId="0" fontId="11" fillId="0" borderId="0" xfId="0" applyFont="1" applyBorder="1" applyAlignment="1">
      <alignment horizontal="center"/>
    </xf>
    <xf numFmtId="164" fontId="11" fillId="0" borderId="0" xfId="0" applyNumberFormat="1" applyFont="1"/>
    <xf numFmtId="0" fontId="11" fillId="0" borderId="0" xfId="0" applyFont="1" applyAlignment="1"/>
    <xf numFmtId="164" fontId="0" fillId="0" borderId="0" xfId="0" applyNumberFormat="1"/>
    <xf numFmtId="0" fontId="0" fillId="0" borderId="2" xfId="0" applyBorder="1" applyAlignment="1"/>
    <xf numFmtId="0" fontId="11" fillId="0" borderId="0" xfId="0" applyFont="1" applyAlignment="1">
      <alignment horizontal="center" vertical="top"/>
    </xf>
    <xf numFmtId="164" fontId="11" fillId="0" borderId="0" xfId="0" applyNumberFormat="1" applyFont="1" applyAlignment="1">
      <alignment horizontal="center" vertical="center"/>
    </xf>
    <xf numFmtId="43" fontId="11" fillId="0" borderId="0" xfId="0" applyNumberFormat="1" applyFont="1" applyAlignment="1"/>
    <xf numFmtId="0" fontId="12" fillId="2" borderId="1"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43" fontId="12" fillId="3" borderId="0" xfId="1" applyNumberFormat="1" applyFont="1" applyFill="1" applyBorder="1" applyAlignment="1">
      <alignment horizontal="center"/>
    </xf>
    <xf numFmtId="43" fontId="11" fillId="0" borderId="0" xfId="1" applyNumberFormat="1" applyFont="1" applyBorder="1"/>
    <xf numFmtId="49" fontId="3" fillId="2" borderId="17" xfId="0" applyNumberFormat="1" applyFont="1" applyFill="1" applyBorder="1"/>
    <xf numFmtId="0" fontId="9" fillId="2" borderId="18" xfId="0" applyFont="1" applyFill="1" applyBorder="1" applyAlignment="1">
      <alignment horizontal="center"/>
    </xf>
    <xf numFmtId="43" fontId="9" fillId="2" borderId="19" xfId="0" applyNumberFormat="1" applyFont="1" applyFill="1" applyBorder="1" applyAlignment="1">
      <alignment horizontal="center"/>
    </xf>
    <xf numFmtId="49" fontId="3" fillId="2" borderId="20" xfId="0" applyNumberFormat="1" applyFont="1" applyFill="1" applyBorder="1"/>
    <xf numFmtId="0" fontId="9" fillId="2" borderId="21" xfId="0" applyFont="1" applyFill="1" applyBorder="1" applyAlignment="1">
      <alignment horizontal="center"/>
    </xf>
    <xf numFmtId="43" fontId="9" fillId="2" borderId="22" xfId="0" applyNumberFormat="1" applyFont="1" applyFill="1" applyBorder="1" applyAlignment="1">
      <alignment horizontal="center"/>
    </xf>
    <xf numFmtId="0" fontId="27" fillId="0" borderId="0" xfId="0" applyFont="1"/>
    <xf numFmtId="0" fontId="30" fillId="0" borderId="0" xfId="0" applyFont="1"/>
    <xf numFmtId="0" fontId="31" fillId="0" borderId="0" xfId="0" applyFont="1"/>
    <xf numFmtId="49" fontId="17" fillId="6" borderId="23" xfId="0" applyNumberFormat="1" applyFont="1" applyFill="1" applyBorder="1"/>
    <xf numFmtId="0" fontId="18" fillId="6" borderId="24" xfId="0" applyFont="1" applyFill="1" applyBorder="1" applyAlignment="1">
      <alignment wrapText="1"/>
    </xf>
    <xf numFmtId="0" fontId="11" fillId="6" borderId="24" xfId="0" applyFont="1" applyFill="1" applyBorder="1" applyAlignment="1">
      <alignment horizontal="center"/>
    </xf>
    <xf numFmtId="43" fontId="11" fillId="6" borderId="24" xfId="1" applyNumberFormat="1" applyFont="1" applyFill="1" applyBorder="1"/>
    <xf numFmtId="165" fontId="11" fillId="6" borderId="24" xfId="1" applyNumberFormat="1" applyFont="1" applyFill="1" applyBorder="1"/>
    <xf numFmtId="43" fontId="11" fillId="6" borderId="24" xfId="1" applyFont="1" applyFill="1" applyBorder="1"/>
    <xf numFmtId="43" fontId="11" fillId="6" borderId="25" xfId="1" applyFont="1" applyFill="1" applyBorder="1"/>
    <xf numFmtId="49" fontId="17" fillId="0" borderId="23" xfId="0" applyNumberFormat="1" applyFont="1" applyBorder="1" applyAlignment="1">
      <alignment vertical="top"/>
    </xf>
    <xf numFmtId="0" fontId="18" fillId="0" borderId="24" xfId="0" applyFont="1" applyBorder="1" applyAlignment="1">
      <alignment wrapText="1"/>
    </xf>
    <xf numFmtId="0" fontId="11" fillId="0" borderId="24" xfId="0" applyFont="1" applyBorder="1" applyAlignment="1">
      <alignment horizontal="center"/>
    </xf>
    <xf numFmtId="43" fontId="11" fillId="0" borderId="24" xfId="1" applyNumberFormat="1" applyFont="1" applyBorder="1"/>
    <xf numFmtId="165" fontId="11" fillId="0" borderId="24" xfId="1" applyNumberFormat="1" applyFont="1" applyBorder="1"/>
    <xf numFmtId="43" fontId="11" fillId="0" borderId="24" xfId="1" applyFont="1" applyBorder="1"/>
    <xf numFmtId="43" fontId="11" fillId="0" borderId="25" xfId="1" applyFont="1" applyBorder="1"/>
    <xf numFmtId="49" fontId="11" fillId="0" borderId="23" xfId="0" applyNumberFormat="1" applyFont="1" applyBorder="1" applyAlignment="1">
      <alignment vertical="top"/>
    </xf>
    <xf numFmtId="0" fontId="11" fillId="0" borderId="24" xfId="0" applyFont="1" applyBorder="1" applyAlignment="1">
      <alignment wrapText="1"/>
    </xf>
    <xf numFmtId="0" fontId="12" fillId="3" borderId="24" xfId="3" applyFont="1" applyFill="1" applyBorder="1" applyAlignment="1">
      <alignment horizontal="left" wrapText="1"/>
    </xf>
    <xf numFmtId="43" fontId="12" fillId="3" borderId="24" xfId="1" applyFont="1" applyFill="1" applyBorder="1" applyAlignment="1">
      <alignment horizontal="center"/>
    </xf>
    <xf numFmtId="165" fontId="12" fillId="2" borderId="24" xfId="1" applyNumberFormat="1" applyFont="1" applyFill="1" applyBorder="1" applyAlignment="1">
      <alignment horizontal="center"/>
    </xf>
    <xf numFmtId="43" fontId="11" fillId="0" borderId="0" xfId="1" applyFont="1" applyBorder="1"/>
    <xf numFmtId="165" fontId="11" fillId="0" borderId="0" xfId="1" applyNumberFormat="1" applyFont="1" applyBorder="1"/>
    <xf numFmtId="49" fontId="14" fillId="6" borderId="23" xfId="2" applyNumberFormat="1" applyFont="1" applyFill="1" applyBorder="1" applyAlignment="1">
      <alignment horizontal="center" vertical="justify"/>
    </xf>
    <xf numFmtId="0" fontId="13" fillId="6" borderId="24" xfId="2" applyNumberFormat="1" applyFont="1" applyFill="1" applyBorder="1" applyAlignment="1">
      <alignment horizontal="left" vertical="top"/>
    </xf>
    <xf numFmtId="43" fontId="12" fillId="6" borderId="24" xfId="2" applyFont="1" applyFill="1" applyBorder="1" applyAlignment="1">
      <alignment horizontal="center"/>
    </xf>
    <xf numFmtId="43" fontId="12" fillId="6" borderId="24" xfId="1" applyNumberFormat="1" applyFont="1" applyFill="1" applyBorder="1" applyAlignment="1">
      <alignment horizontal="center"/>
    </xf>
    <xf numFmtId="165" fontId="12" fillId="6" borderId="24" xfId="1" applyNumberFormat="1" applyFont="1" applyFill="1" applyBorder="1" applyAlignment="1">
      <alignment horizontal="center"/>
    </xf>
    <xf numFmtId="49" fontId="14" fillId="8" borderId="23" xfId="2" applyNumberFormat="1" applyFont="1" applyFill="1" applyBorder="1" applyAlignment="1">
      <alignment horizontal="center" vertical="justify"/>
    </xf>
    <xf numFmtId="0" fontId="13" fillId="8" borderId="24" xfId="2" applyNumberFormat="1" applyFont="1" applyFill="1" applyBorder="1" applyAlignment="1">
      <alignment horizontal="left" vertical="top"/>
    </xf>
    <xf numFmtId="43" fontId="12" fillId="8" borderId="24" xfId="2" applyFont="1" applyFill="1" applyBorder="1" applyAlignment="1">
      <alignment horizontal="center"/>
    </xf>
    <xf numFmtId="43" fontId="12" fillId="8" borderId="24" xfId="1" applyNumberFormat="1" applyFont="1" applyFill="1" applyBorder="1" applyAlignment="1">
      <alignment horizontal="center"/>
    </xf>
    <xf numFmtId="165" fontId="12" fillId="8" borderId="24" xfId="1" applyNumberFormat="1" applyFont="1" applyFill="1" applyBorder="1" applyAlignment="1">
      <alignment horizontal="center"/>
    </xf>
    <xf numFmtId="43" fontId="11" fillId="8" borderId="24" xfId="1" applyFont="1" applyFill="1" applyBorder="1"/>
    <xf numFmtId="43" fontId="11" fillId="8" borderId="25" xfId="1" applyFont="1" applyFill="1" applyBorder="1"/>
    <xf numFmtId="49" fontId="12" fillId="2" borderId="23" xfId="2" applyNumberFormat="1" applyFont="1" applyFill="1" applyBorder="1" applyAlignment="1">
      <alignment horizontal="center" vertical="top"/>
    </xf>
    <xf numFmtId="0" fontId="12" fillId="0" borderId="24" xfId="3" applyFont="1" applyBorder="1" applyAlignment="1">
      <alignment horizontal="left" wrapText="1"/>
    </xf>
    <xf numFmtId="0" fontId="12" fillId="0" borderId="24" xfId="3" applyFont="1" applyFill="1" applyBorder="1" applyAlignment="1">
      <alignment horizontal="center"/>
    </xf>
    <xf numFmtId="43" fontId="12" fillId="3" borderId="24" xfId="1" applyNumberFormat="1" applyFont="1" applyFill="1" applyBorder="1" applyAlignment="1">
      <alignment horizontal="center"/>
    </xf>
    <xf numFmtId="43" fontId="11" fillId="0" borderId="24" xfId="1" applyFont="1" applyBorder="1" applyAlignment="1"/>
    <xf numFmtId="43" fontId="11" fillId="0" borderId="25" xfId="1" applyFont="1" applyBorder="1" applyAlignment="1"/>
    <xf numFmtId="164" fontId="11" fillId="0" borderId="0" xfId="0" applyNumberFormat="1" applyFont="1" applyAlignment="1"/>
    <xf numFmtId="49" fontId="17" fillId="0" borderId="23" xfId="0" applyNumberFormat="1" applyFont="1" applyBorder="1"/>
    <xf numFmtId="0" fontId="17" fillId="0" borderId="24" xfId="0" applyFont="1" applyBorder="1"/>
    <xf numFmtId="0" fontId="17" fillId="0" borderId="24" xfId="0" applyFont="1" applyBorder="1" applyAlignment="1">
      <alignment horizontal="center"/>
    </xf>
    <xf numFmtId="43" fontId="17" fillId="0" borderId="24" xfId="1" applyNumberFormat="1" applyFont="1" applyBorder="1"/>
    <xf numFmtId="165" fontId="17" fillId="0" borderId="24" xfId="1" applyNumberFormat="1" applyFont="1" applyBorder="1"/>
    <xf numFmtId="43" fontId="17" fillId="0" borderId="24" xfId="1" applyFont="1" applyBorder="1"/>
    <xf numFmtId="49" fontId="11" fillId="0" borderId="23" xfId="0" applyNumberFormat="1" applyFont="1" applyBorder="1"/>
    <xf numFmtId="0" fontId="11" fillId="0" borderId="24" xfId="0" applyFont="1" applyBorder="1"/>
    <xf numFmtId="49" fontId="14" fillId="10" borderId="23" xfId="2" applyNumberFormat="1" applyFont="1" applyFill="1" applyBorder="1" applyAlignment="1">
      <alignment horizontal="center"/>
    </xf>
    <xf numFmtId="0" fontId="13" fillId="10" borderId="24" xfId="2" applyNumberFormat="1" applyFont="1" applyFill="1" applyBorder="1" applyAlignment="1">
      <alignment horizontal="left" wrapText="1"/>
    </xf>
    <xf numFmtId="43" fontId="14" fillId="10" borderId="24" xfId="2" applyFont="1" applyFill="1" applyBorder="1" applyAlignment="1">
      <alignment horizontal="center"/>
    </xf>
    <xf numFmtId="43" fontId="14" fillId="10" borderId="24" xfId="1" applyNumberFormat="1" applyFont="1" applyFill="1" applyBorder="1" applyAlignment="1">
      <alignment horizontal="center"/>
    </xf>
    <xf numFmtId="165" fontId="12" fillId="10" borderId="24" xfId="1" applyNumberFormat="1" applyFont="1" applyFill="1" applyBorder="1" applyAlignment="1">
      <alignment horizontal="center"/>
    </xf>
    <xf numFmtId="43" fontId="11" fillId="10" borderId="24" xfId="1" applyFont="1" applyFill="1" applyBorder="1"/>
    <xf numFmtId="43" fontId="11" fillId="10" borderId="25" xfId="1" applyFont="1" applyFill="1" applyBorder="1"/>
    <xf numFmtId="49" fontId="3" fillId="3" borderId="23" xfId="0" applyNumberFormat="1" applyFont="1" applyFill="1" applyBorder="1" applyAlignment="1">
      <alignment horizontal="center" vertical="center"/>
    </xf>
    <xf numFmtId="0" fontId="23" fillId="3" borderId="24" xfId="0" applyFont="1" applyFill="1" applyBorder="1" applyAlignment="1">
      <alignment vertical="center" wrapText="1"/>
    </xf>
    <xf numFmtId="0" fontId="3" fillId="3" borderId="24" xfId="0" applyFont="1" applyFill="1" applyBorder="1" applyAlignment="1">
      <alignment horizontal="center" vertical="center"/>
    </xf>
    <xf numFmtId="43" fontId="3" fillId="3" borderId="24" xfId="0" applyNumberFormat="1" applyFont="1" applyFill="1" applyBorder="1" applyAlignment="1">
      <alignment horizontal="center" vertical="center"/>
    </xf>
    <xf numFmtId="165" fontId="12" fillId="3" borderId="24" xfId="1" applyNumberFormat="1" applyFont="1" applyFill="1" applyBorder="1" applyAlignment="1">
      <alignment horizontal="center"/>
    </xf>
    <xf numFmtId="43" fontId="11" fillId="3" borderId="24" xfId="1" applyFont="1" applyFill="1" applyBorder="1"/>
    <xf numFmtId="43" fontId="11" fillId="3" borderId="25" xfId="1" applyFont="1" applyFill="1" applyBorder="1"/>
    <xf numFmtId="49" fontId="3" fillId="6" borderId="23" xfId="0" applyNumberFormat="1" applyFont="1" applyFill="1" applyBorder="1" applyAlignment="1">
      <alignment horizontal="center" vertical="center"/>
    </xf>
    <xf numFmtId="0" fontId="23" fillId="6" borderId="24" xfId="0" applyFont="1" applyFill="1" applyBorder="1" applyAlignment="1">
      <alignment vertical="center" wrapText="1"/>
    </xf>
    <xf numFmtId="0" fontId="3" fillId="6" borderId="24" xfId="0" applyFont="1" applyFill="1" applyBorder="1" applyAlignment="1">
      <alignment horizontal="center" vertical="center"/>
    </xf>
    <xf numFmtId="43" fontId="3" fillId="6" borderId="24" xfId="0" applyNumberFormat="1" applyFont="1" applyFill="1" applyBorder="1" applyAlignment="1">
      <alignment horizontal="center" vertical="center"/>
    </xf>
    <xf numFmtId="0" fontId="3" fillId="3" borderId="24" xfId="0" applyFont="1" applyFill="1" applyBorder="1" applyAlignment="1">
      <alignment vertical="center" wrapText="1"/>
    </xf>
    <xf numFmtId="165" fontId="11" fillId="3" borderId="24" xfId="1" applyNumberFormat="1" applyFont="1" applyFill="1" applyBorder="1"/>
    <xf numFmtId="43" fontId="12" fillId="10" borderId="24" xfId="2" applyFont="1" applyFill="1" applyBorder="1" applyAlignment="1">
      <alignment horizontal="center"/>
    </xf>
    <xf numFmtId="43" fontId="12" fillId="10" borderId="24" xfId="1" applyNumberFormat="1" applyFont="1" applyFill="1" applyBorder="1" applyAlignment="1">
      <alignment horizontal="center"/>
    </xf>
    <xf numFmtId="49" fontId="14" fillId="2" borderId="23" xfId="2" applyNumberFormat="1" applyFont="1" applyFill="1" applyBorder="1" applyAlignment="1">
      <alignment horizontal="center" vertical="justify"/>
    </xf>
    <xf numFmtId="0" fontId="12" fillId="2" borderId="24" xfId="2" applyNumberFormat="1" applyFont="1" applyFill="1" applyBorder="1" applyAlignment="1">
      <alignment wrapText="1"/>
    </xf>
    <xf numFmtId="0" fontId="12" fillId="2" borderId="25" xfId="2" applyNumberFormat="1" applyFont="1" applyFill="1" applyBorder="1" applyAlignment="1">
      <alignment wrapText="1"/>
    </xf>
    <xf numFmtId="49" fontId="14" fillId="2" borderId="23" xfId="2" applyNumberFormat="1" applyFont="1" applyFill="1" applyBorder="1" applyAlignment="1">
      <alignment horizontal="center"/>
    </xf>
    <xf numFmtId="0" fontId="26" fillId="3" borderId="24" xfId="0" applyFont="1" applyFill="1" applyBorder="1" applyAlignment="1">
      <alignment vertical="center" wrapText="1"/>
    </xf>
    <xf numFmtId="49" fontId="14" fillId="6" borderId="23" xfId="1" applyNumberFormat="1" applyFont="1" applyFill="1" applyBorder="1" applyAlignment="1">
      <alignment horizontal="left" vertical="justify"/>
    </xf>
    <xf numFmtId="0" fontId="13" fillId="6" borderId="24" xfId="2" applyNumberFormat="1" applyFont="1" applyFill="1" applyBorder="1" applyAlignment="1">
      <alignment horizontal="justify"/>
    </xf>
    <xf numFmtId="43" fontId="14" fillId="6" borderId="24" xfId="2" applyFont="1" applyFill="1" applyBorder="1" applyAlignment="1">
      <alignment horizontal="center"/>
    </xf>
    <xf numFmtId="43" fontId="14" fillId="6" borderId="24" xfId="1" applyFont="1" applyFill="1" applyBorder="1" applyAlignment="1">
      <alignment horizontal="center"/>
    </xf>
    <xf numFmtId="165" fontId="14" fillId="6" borderId="24" xfId="1" applyNumberFormat="1" applyFont="1" applyFill="1" applyBorder="1" applyAlignment="1">
      <alignment horizontal="center"/>
    </xf>
    <xf numFmtId="49" fontId="14" fillId="10" borderId="23" xfId="1" applyNumberFormat="1" applyFont="1" applyFill="1" applyBorder="1" applyAlignment="1">
      <alignment horizontal="left" vertical="justify"/>
    </xf>
    <xf numFmtId="0" fontId="13" fillId="10" borderId="24" xfId="2" applyNumberFormat="1" applyFont="1" applyFill="1" applyBorder="1" applyAlignment="1">
      <alignment horizontal="justify"/>
    </xf>
    <xf numFmtId="43" fontId="12" fillId="10" borderId="24" xfId="1" applyFont="1" applyFill="1" applyBorder="1" applyAlignment="1">
      <alignment horizontal="center"/>
    </xf>
    <xf numFmtId="43" fontId="14" fillId="10" borderId="25" xfId="2" applyFont="1" applyFill="1" applyBorder="1"/>
    <xf numFmtId="49" fontId="12" fillId="3" borderId="23" xfId="1" applyNumberFormat="1" applyFont="1" applyFill="1" applyBorder="1" applyAlignment="1">
      <alignment horizontal="left" vertical="justify"/>
    </xf>
    <xf numFmtId="0" fontId="12" fillId="3" borderId="24" xfId="3" applyFont="1" applyFill="1" applyBorder="1" applyAlignment="1">
      <alignment horizontal="center"/>
    </xf>
    <xf numFmtId="0" fontId="13" fillId="10" borderId="24" xfId="2" applyNumberFormat="1" applyFont="1" applyFill="1" applyBorder="1" applyAlignment="1">
      <alignment horizontal="left"/>
    </xf>
    <xf numFmtId="0" fontId="13" fillId="10" borderId="24" xfId="3" applyFont="1" applyFill="1" applyBorder="1" applyAlignment="1">
      <alignment horizontal="left" wrapText="1"/>
    </xf>
    <xf numFmtId="0" fontId="14" fillId="10" borderId="24" xfId="3" applyFont="1" applyFill="1" applyBorder="1" applyAlignment="1">
      <alignment horizontal="center"/>
    </xf>
    <xf numFmtId="49" fontId="14" fillId="9" borderId="23" xfId="1" applyNumberFormat="1" applyFont="1" applyFill="1" applyBorder="1" applyAlignment="1">
      <alignment horizontal="left" vertical="justify"/>
    </xf>
    <xf numFmtId="0" fontId="13" fillId="9" borderId="24" xfId="2" applyNumberFormat="1" applyFont="1" applyFill="1" applyBorder="1" applyAlignment="1">
      <alignment horizontal="justify"/>
    </xf>
    <xf numFmtId="43" fontId="14" fillId="9" borderId="24" xfId="2" applyFont="1" applyFill="1" applyBorder="1" applyAlignment="1">
      <alignment horizontal="center"/>
    </xf>
    <xf numFmtId="43" fontId="14" fillId="9" borderId="24" xfId="1" applyFont="1" applyFill="1" applyBorder="1" applyAlignment="1">
      <alignment horizontal="center"/>
    </xf>
    <xf numFmtId="165" fontId="14" fillId="9" borderId="24" xfId="1" applyNumberFormat="1" applyFont="1" applyFill="1" applyBorder="1" applyAlignment="1">
      <alignment horizontal="center"/>
    </xf>
    <xf numFmtId="43" fontId="11" fillId="9" borderId="24" xfId="1" applyFont="1" applyFill="1" applyBorder="1"/>
    <xf numFmtId="43" fontId="11" fillId="9" borderId="25" xfId="1" applyFont="1" applyFill="1" applyBorder="1"/>
    <xf numFmtId="49" fontId="25" fillId="3" borderId="23" xfId="0" applyNumberFormat="1" applyFont="1" applyFill="1" applyBorder="1" applyAlignment="1">
      <alignment horizontal="center" vertical="top"/>
    </xf>
    <xf numFmtId="0" fontId="23" fillId="3" borderId="24" xfId="0" applyFont="1" applyFill="1" applyBorder="1" applyAlignment="1">
      <alignment vertical="justify" wrapText="1"/>
    </xf>
    <xf numFmtId="49" fontId="3" fillId="3" borderId="23" xfId="0" applyNumberFormat="1" applyFont="1" applyFill="1" applyBorder="1" applyAlignment="1">
      <alignment horizontal="center" vertical="top"/>
    </xf>
    <xf numFmtId="0" fontId="3" fillId="3" borderId="24" xfId="0" applyFont="1" applyFill="1" applyBorder="1" applyAlignment="1">
      <alignment wrapText="1"/>
    </xf>
    <xf numFmtId="0" fontId="3" fillId="3" borderId="24" xfId="0" applyFont="1" applyFill="1" applyBorder="1" applyAlignment="1">
      <alignment horizontal="center"/>
    </xf>
    <xf numFmtId="43" fontId="3" fillId="3" borderId="24" xfId="0" applyNumberFormat="1" applyFont="1" applyFill="1" applyBorder="1" applyAlignment="1">
      <alignment horizontal="center"/>
    </xf>
    <xf numFmtId="43" fontId="12" fillId="3" borderId="24" xfId="1" applyNumberFormat="1" applyFont="1" applyFill="1" applyBorder="1" applyAlignment="1"/>
    <xf numFmtId="43" fontId="17" fillId="3" borderId="25" xfId="1" applyFont="1" applyFill="1" applyBorder="1" applyAlignment="1"/>
    <xf numFmtId="0" fontId="3" fillId="3" borderId="24" xfId="0" applyFont="1" applyFill="1" applyBorder="1" applyAlignment="1">
      <alignment vertical="top" wrapText="1"/>
    </xf>
    <xf numFmtId="0" fontId="3" fillId="3" borderId="24" xfId="0" applyFont="1" applyFill="1" applyBorder="1" applyAlignment="1">
      <alignment vertical="justify" wrapText="1"/>
    </xf>
    <xf numFmtId="0" fontId="25" fillId="3" borderId="24" xfId="0" applyFont="1" applyFill="1" applyBorder="1" applyAlignment="1">
      <alignment horizontal="center" vertical="center"/>
    </xf>
    <xf numFmtId="43" fontId="25" fillId="3" borderId="24" xfId="0" applyNumberFormat="1" applyFont="1" applyFill="1" applyBorder="1" applyAlignment="1">
      <alignment horizontal="center" vertical="center"/>
    </xf>
    <xf numFmtId="43" fontId="17" fillId="3" borderId="25" xfId="1" applyFont="1" applyFill="1" applyBorder="1"/>
    <xf numFmtId="49" fontId="12" fillId="2" borderId="23" xfId="2" applyNumberFormat="1" applyFont="1" applyFill="1" applyBorder="1" applyAlignment="1">
      <alignment horizontal="center" vertical="justify"/>
    </xf>
    <xf numFmtId="0" fontId="12" fillId="0" borderId="24" xfId="3" applyFont="1" applyBorder="1" applyAlignment="1">
      <alignment horizontal="center"/>
    </xf>
    <xf numFmtId="0" fontId="27" fillId="0" borderId="30" xfId="0" applyFont="1" applyBorder="1"/>
    <xf numFmtId="0" fontId="27" fillId="0" borderId="31" xfId="0" applyFont="1" applyBorder="1"/>
    <xf numFmtId="0" fontId="28" fillId="0" borderId="31" xfId="0" applyFont="1" applyBorder="1" applyAlignment="1">
      <alignment horizontal="center"/>
    </xf>
    <xf numFmtId="0" fontId="29" fillId="0" borderId="31" xfId="0" applyFont="1" applyBorder="1" applyAlignment="1">
      <alignment horizontal="center" vertical="center" wrapText="1"/>
    </xf>
    <xf numFmtId="0" fontId="30" fillId="0" borderId="31" xfId="0" applyFont="1" applyBorder="1" applyAlignment="1">
      <alignment horizontal="center"/>
    </xf>
    <xf numFmtId="0" fontId="27" fillId="0" borderId="31" xfId="0" applyFont="1" applyBorder="1" applyAlignment="1">
      <alignment horizontal="center"/>
    </xf>
    <xf numFmtId="49" fontId="11" fillId="0" borderId="29" xfId="0" applyNumberFormat="1" applyFont="1" applyBorder="1" applyAlignment="1">
      <alignment horizontal="center" vertical="center"/>
    </xf>
    <xf numFmtId="0" fontId="11" fillId="0" borderId="29" xfId="0" applyFont="1" applyBorder="1" applyAlignment="1">
      <alignment horizontal="center" vertical="center"/>
    </xf>
    <xf numFmtId="43" fontId="11" fillId="0" borderId="29" xfId="1" applyNumberFormat="1" applyFont="1" applyBorder="1" applyAlignment="1">
      <alignment horizontal="center" vertical="center"/>
    </xf>
    <xf numFmtId="165" fontId="11" fillId="0" borderId="29" xfId="1" applyNumberFormat="1" applyFont="1" applyBorder="1" applyAlignment="1">
      <alignment horizontal="center" vertical="center" wrapText="1"/>
    </xf>
    <xf numFmtId="43" fontId="11" fillId="0" borderId="29" xfId="1" applyFont="1" applyBorder="1" applyAlignment="1">
      <alignment horizontal="center" vertical="center" wrapText="1"/>
    </xf>
    <xf numFmtId="49" fontId="12" fillId="2" borderId="33" xfId="2" applyNumberFormat="1" applyFont="1" applyFill="1" applyBorder="1" applyAlignment="1">
      <alignment horizontal="center" vertical="justify"/>
    </xf>
    <xf numFmtId="0" fontId="13" fillId="2" borderId="34" xfId="2" quotePrefix="1" applyNumberFormat="1" applyFont="1" applyFill="1" applyBorder="1" applyAlignment="1">
      <alignment horizontal="center"/>
    </xf>
    <xf numFmtId="43" fontId="14" fillId="2" borderId="34" xfId="2" applyFont="1" applyFill="1" applyBorder="1" applyAlignment="1">
      <alignment horizontal="center"/>
    </xf>
    <xf numFmtId="43" fontId="14" fillId="3" borderId="34" xfId="1" applyNumberFormat="1" applyFont="1" applyFill="1" applyBorder="1" applyAlignment="1">
      <alignment horizontal="center"/>
    </xf>
    <xf numFmtId="165" fontId="12" fillId="2" borderId="34" xfId="1" applyNumberFormat="1" applyFont="1" applyFill="1" applyBorder="1" applyAlignment="1">
      <alignment horizontal="center"/>
    </xf>
    <xf numFmtId="43" fontId="11" fillId="0" borderId="34" xfId="1" applyFont="1" applyBorder="1" applyAlignment="1">
      <alignment horizontal="center" vertical="center" wrapText="1"/>
    </xf>
    <xf numFmtId="43" fontId="11" fillId="0" borderId="35" xfId="1" applyFont="1" applyBorder="1" applyAlignment="1">
      <alignment horizontal="center" vertical="center" wrapText="1"/>
    </xf>
    <xf numFmtId="0" fontId="13" fillId="2" borderId="24" xfId="2" applyNumberFormat="1" applyFont="1" applyFill="1" applyBorder="1" applyAlignment="1">
      <alignment horizontal="center"/>
    </xf>
    <xf numFmtId="43" fontId="14" fillId="2" borderId="24" xfId="2" applyFont="1" applyFill="1" applyBorder="1" applyAlignment="1">
      <alignment horizontal="center"/>
    </xf>
    <xf numFmtId="43" fontId="14" fillId="3" borderId="24" xfId="1" applyNumberFormat="1" applyFont="1" applyFill="1" applyBorder="1" applyAlignment="1">
      <alignment horizontal="center"/>
    </xf>
    <xf numFmtId="43" fontId="11" fillId="0" borderId="24" xfId="1" applyFont="1" applyBorder="1" applyAlignment="1">
      <alignment horizontal="center" vertical="center" wrapText="1"/>
    </xf>
    <xf numFmtId="43" fontId="11" fillId="0" borderId="25" xfId="1" applyFont="1" applyBorder="1" applyAlignment="1">
      <alignment horizontal="center" vertical="center" wrapText="1"/>
    </xf>
    <xf numFmtId="0" fontId="14" fillId="2" borderId="24" xfId="2" applyNumberFormat="1" applyFont="1" applyFill="1" applyBorder="1" applyAlignment="1">
      <alignment horizontal="left"/>
    </xf>
    <xf numFmtId="0" fontId="13" fillId="2" borderId="24" xfId="2" applyNumberFormat="1" applyFont="1" applyFill="1" applyBorder="1" applyAlignment="1">
      <alignment horizontal="left"/>
    </xf>
    <xf numFmtId="49" fontId="12" fillId="2" borderId="23" xfId="2" quotePrefix="1" applyNumberFormat="1" applyFont="1" applyFill="1" applyBorder="1" applyAlignment="1">
      <alignment horizontal="center" vertical="justify"/>
    </xf>
    <xf numFmtId="0" fontId="15" fillId="2" borderId="24" xfId="2" applyNumberFormat="1" applyFont="1" applyFill="1" applyBorder="1" applyAlignment="1">
      <alignment horizontal="left"/>
    </xf>
    <xf numFmtId="0" fontId="12" fillId="2" borderId="24" xfId="2" applyNumberFormat="1" applyFont="1" applyFill="1" applyBorder="1" applyAlignment="1">
      <alignment horizontal="left"/>
    </xf>
    <xf numFmtId="0" fontId="13" fillId="2" borderId="24" xfId="2" applyNumberFormat="1" applyFont="1" applyFill="1" applyBorder="1"/>
    <xf numFmtId="43" fontId="12" fillId="2" borderId="24" xfId="2" applyFont="1" applyFill="1" applyBorder="1" applyAlignment="1">
      <alignment horizontal="center"/>
    </xf>
    <xf numFmtId="0" fontId="12" fillId="2" borderId="24" xfId="2" applyNumberFormat="1" applyFont="1" applyFill="1" applyBorder="1" applyAlignment="1">
      <alignment horizontal="justify"/>
    </xf>
    <xf numFmtId="0" fontId="12" fillId="2" borderId="24" xfId="2" applyNumberFormat="1" applyFont="1" applyFill="1" applyBorder="1"/>
    <xf numFmtId="0" fontId="13" fillId="2" borderId="24" xfId="2" applyNumberFormat="1" applyFont="1" applyFill="1" applyBorder="1" applyAlignment="1">
      <alignment vertical="top"/>
    </xf>
    <xf numFmtId="43" fontId="12" fillId="2" borderId="24" xfId="2" applyFont="1" applyFill="1" applyBorder="1" applyAlignment="1">
      <alignment horizontal="center" vertical="top"/>
    </xf>
    <xf numFmtId="43" fontId="12" fillId="3" borderId="24" xfId="1" applyNumberFormat="1" applyFont="1" applyFill="1" applyBorder="1" applyAlignment="1">
      <alignment horizontal="center" vertical="top"/>
    </xf>
    <xf numFmtId="0" fontId="12" fillId="2" borderId="24" xfId="2" applyNumberFormat="1" applyFont="1" applyFill="1" applyBorder="1" applyAlignment="1">
      <alignment vertical="top" wrapText="1"/>
    </xf>
    <xf numFmtId="0" fontId="14" fillId="2" borderId="24" xfId="2" quotePrefix="1" applyNumberFormat="1" applyFont="1" applyFill="1" applyBorder="1" applyAlignment="1">
      <alignment horizontal="left"/>
    </xf>
    <xf numFmtId="0" fontId="12" fillId="2" borderId="24" xfId="2" quotePrefix="1" applyNumberFormat="1" applyFont="1" applyFill="1" applyBorder="1" applyAlignment="1">
      <alignment wrapText="1"/>
    </xf>
    <xf numFmtId="0" fontId="12" fillId="2" borderId="24" xfId="2" quotePrefix="1" applyNumberFormat="1" applyFont="1" applyFill="1" applyBorder="1" applyAlignment="1"/>
    <xf numFmtId="0" fontId="12" fillId="2" borderId="25" xfId="2" quotePrefix="1" applyNumberFormat="1" applyFont="1" applyFill="1" applyBorder="1" applyAlignment="1"/>
    <xf numFmtId="49" fontId="11" fillId="0" borderId="23" xfId="0" applyNumberFormat="1" applyFont="1" applyBorder="1" applyAlignment="1">
      <alignment horizontal="center" vertical="center"/>
    </xf>
    <xf numFmtId="0" fontId="11" fillId="0" borderId="24" xfId="0" applyFont="1" applyBorder="1" applyAlignment="1">
      <alignment horizontal="center" vertical="center"/>
    </xf>
    <xf numFmtId="43" fontId="11" fillId="0" borderId="24" xfId="0" applyNumberFormat="1" applyFont="1" applyBorder="1" applyAlignment="1">
      <alignment horizontal="center" vertical="center"/>
    </xf>
    <xf numFmtId="165" fontId="11" fillId="0" borderId="24" xfId="0" applyNumberFormat="1" applyFont="1" applyBorder="1" applyAlignment="1">
      <alignment horizontal="center" vertical="center"/>
    </xf>
    <xf numFmtId="0" fontId="11" fillId="0" borderId="25" xfId="0" applyFont="1" applyBorder="1" applyAlignment="1">
      <alignment horizontal="center" vertical="center"/>
    </xf>
    <xf numFmtId="0" fontId="13" fillId="2" borderId="24" xfId="2" applyNumberFormat="1" applyFont="1" applyFill="1" applyBorder="1" applyAlignment="1">
      <alignment horizontal="justify"/>
    </xf>
    <xf numFmtId="43" fontId="12" fillId="3" borderId="24" xfId="2" applyNumberFormat="1" applyFont="1" applyFill="1" applyBorder="1" applyAlignment="1">
      <alignment horizontal="center"/>
    </xf>
    <xf numFmtId="43" fontId="13" fillId="2" borderId="24" xfId="2" applyFont="1" applyFill="1" applyBorder="1" applyAlignment="1">
      <alignment horizontal="justify" vertical="top"/>
    </xf>
    <xf numFmtId="43" fontId="12" fillId="3" borderId="24" xfId="1" applyNumberFormat="1" applyFont="1" applyFill="1" applyBorder="1" applyAlignment="1">
      <alignment horizontal="right"/>
    </xf>
    <xf numFmtId="43" fontId="12" fillId="2" borderId="24" xfId="2" applyFont="1" applyFill="1" applyBorder="1" applyAlignment="1">
      <alignment horizontal="justify" vertical="top"/>
    </xf>
    <xf numFmtId="0" fontId="12" fillId="2" borderId="24" xfId="2" applyNumberFormat="1" applyFont="1" applyFill="1" applyBorder="1" applyAlignment="1">
      <alignment horizontal="justify" vertical="top" wrapText="1"/>
    </xf>
    <xf numFmtId="0" fontId="13" fillId="2" borderId="24" xfId="2" applyNumberFormat="1" applyFont="1" applyFill="1" applyBorder="1" applyAlignment="1">
      <alignment horizontal="justify" vertical="top"/>
    </xf>
    <xf numFmtId="0" fontId="12" fillId="2" borderId="24" xfId="2" quotePrefix="1" applyNumberFormat="1" applyFont="1" applyFill="1" applyBorder="1" applyAlignment="1">
      <alignment vertical="justify"/>
    </xf>
    <xf numFmtId="0" fontId="15" fillId="2" borderId="24" xfId="2" quotePrefix="1" applyNumberFormat="1" applyFont="1" applyFill="1" applyBorder="1" applyAlignment="1">
      <alignment horizontal="left" vertical="top"/>
    </xf>
    <xf numFmtId="49" fontId="12" fillId="2" borderId="23" xfId="2" applyNumberFormat="1" applyFont="1" applyFill="1" applyBorder="1" applyAlignment="1">
      <alignment horizontal="center"/>
    </xf>
    <xf numFmtId="0" fontId="12" fillId="2" borderId="24" xfId="2" applyNumberFormat="1" applyFont="1" applyFill="1" applyBorder="1" applyAlignment="1">
      <alignment horizontal="left" wrapText="1"/>
    </xf>
    <xf numFmtId="0" fontId="12" fillId="2" borderId="24" xfId="2" applyNumberFormat="1" applyFont="1" applyFill="1" applyBorder="1" applyAlignment="1">
      <alignment horizontal="left" vertical="top" wrapText="1"/>
    </xf>
    <xf numFmtId="0" fontId="13" fillId="2" borderId="24" xfId="2" applyNumberFormat="1" applyFont="1" applyFill="1" applyBorder="1" applyAlignment="1">
      <alignment horizontal="left" vertical="top" wrapText="1"/>
    </xf>
    <xf numFmtId="0" fontId="12" fillId="2" borderId="24" xfId="2" quotePrefix="1" applyNumberFormat="1" applyFont="1" applyFill="1" applyBorder="1" applyAlignment="1">
      <alignment vertical="top" wrapText="1"/>
    </xf>
    <xf numFmtId="0" fontId="12" fillId="2" borderId="24" xfId="2" quotePrefix="1" applyNumberFormat="1" applyFont="1" applyFill="1" applyBorder="1" applyAlignment="1">
      <alignment vertical="top"/>
    </xf>
    <xf numFmtId="0" fontId="12" fillId="2" borderId="24" xfId="2" applyNumberFormat="1" applyFont="1" applyFill="1" applyBorder="1" applyAlignment="1">
      <alignment vertical="top"/>
    </xf>
    <xf numFmtId="0" fontId="12" fillId="2" borderId="24" xfId="2" applyNumberFormat="1" applyFont="1" applyFill="1" applyBorder="1" applyAlignment="1">
      <alignment horizontal="justify" vertical="top"/>
    </xf>
    <xf numFmtId="0" fontId="12" fillId="2" borderId="24" xfId="2" quotePrefix="1" applyNumberFormat="1" applyFont="1" applyFill="1" applyBorder="1" applyAlignment="1">
      <alignment horizontal="justify" vertical="top"/>
    </xf>
    <xf numFmtId="0" fontId="13" fillId="2" borderId="24" xfId="2" applyNumberFormat="1" applyFont="1" applyFill="1" applyBorder="1" applyAlignment="1">
      <alignment horizontal="center" vertical="top"/>
    </xf>
    <xf numFmtId="0" fontId="12" fillId="2" borderId="25" xfId="2" quotePrefix="1" applyNumberFormat="1" applyFont="1" applyFill="1" applyBorder="1" applyAlignment="1">
      <alignment vertical="top"/>
    </xf>
    <xf numFmtId="49" fontId="14" fillId="5" borderId="23" xfId="2" applyNumberFormat="1" applyFont="1" applyFill="1" applyBorder="1" applyAlignment="1">
      <alignment horizontal="center" vertical="justify"/>
    </xf>
    <xf numFmtId="0" fontId="13" fillId="5" borderId="24" xfId="2" applyNumberFormat="1" applyFont="1" applyFill="1" applyBorder="1" applyAlignment="1">
      <alignment horizontal="justify" vertical="top"/>
    </xf>
    <xf numFmtId="43" fontId="12" fillId="5" borderId="24" xfId="2" applyNumberFormat="1" applyFont="1" applyFill="1" applyBorder="1" applyAlignment="1">
      <alignment horizontal="center"/>
    </xf>
    <xf numFmtId="43" fontId="12" fillId="5" borderId="24" xfId="1" applyNumberFormat="1" applyFont="1" applyFill="1" applyBorder="1" applyAlignment="1">
      <alignment horizontal="center"/>
    </xf>
    <xf numFmtId="165" fontId="12" fillId="5" borderId="24" xfId="1" applyNumberFormat="1" applyFont="1" applyFill="1" applyBorder="1" applyAlignment="1">
      <alignment horizontal="center"/>
    </xf>
    <xf numFmtId="43" fontId="11" fillId="5" borderId="24" xfId="1" applyFont="1" applyFill="1" applyBorder="1" applyAlignment="1">
      <alignment horizontal="center" vertical="center" wrapText="1"/>
    </xf>
    <xf numFmtId="43" fontId="11" fillId="5" borderId="25" xfId="1" applyFont="1" applyFill="1" applyBorder="1" applyAlignment="1">
      <alignment horizontal="center" vertical="center" wrapText="1"/>
    </xf>
    <xf numFmtId="165" fontId="12" fillId="2" borderId="24" xfId="1" applyNumberFormat="1" applyFont="1" applyFill="1" applyBorder="1" applyAlignment="1">
      <alignment horizontal="center" vertical="top"/>
    </xf>
    <xf numFmtId="43" fontId="11" fillId="0" borderId="24" xfId="1" applyFont="1" applyBorder="1" applyAlignment="1">
      <alignment horizontal="center" vertical="top" wrapText="1"/>
    </xf>
    <xf numFmtId="43" fontId="11" fillId="0" borderId="25" xfId="1" applyFont="1" applyBorder="1" applyAlignment="1">
      <alignment horizontal="center" vertical="top" wrapText="1"/>
    </xf>
    <xf numFmtId="49" fontId="12" fillId="5" borderId="23" xfId="2" applyNumberFormat="1" applyFont="1" applyFill="1" applyBorder="1" applyAlignment="1">
      <alignment horizontal="center"/>
    </xf>
    <xf numFmtId="0" fontId="13" fillId="5" borderId="24" xfId="2" applyNumberFormat="1" applyFont="1" applyFill="1" applyBorder="1" applyAlignment="1">
      <alignment horizontal="left" vertical="top"/>
    </xf>
    <xf numFmtId="43" fontId="12" fillId="5" borderId="24" xfId="2" applyFont="1" applyFill="1" applyBorder="1" applyAlignment="1">
      <alignment horizontal="center"/>
    </xf>
    <xf numFmtId="0" fontId="17" fillId="6" borderId="24" xfId="0" applyFont="1" applyFill="1" applyBorder="1" applyAlignment="1">
      <alignment horizontal="center"/>
    </xf>
    <xf numFmtId="43" fontId="17" fillId="6" borderId="24" xfId="1" applyNumberFormat="1" applyFont="1" applyFill="1" applyBorder="1"/>
    <xf numFmtId="165" fontId="17" fillId="6" borderId="24" xfId="1" applyNumberFormat="1" applyFont="1" applyFill="1" applyBorder="1"/>
    <xf numFmtId="43" fontId="17" fillId="6" borderId="24" xfId="1" applyFont="1" applyFill="1" applyBorder="1"/>
    <xf numFmtId="43" fontId="17" fillId="6" borderId="25" xfId="1" applyFont="1" applyFill="1" applyBorder="1"/>
    <xf numFmtId="43" fontId="17" fillId="0" borderId="25" xfId="1" applyFont="1" applyBorder="1"/>
    <xf numFmtId="0" fontId="13" fillId="5" borderId="24" xfId="2" applyNumberFormat="1" applyFont="1" applyFill="1" applyBorder="1" applyAlignment="1">
      <alignment horizontal="center" vertical="top"/>
    </xf>
    <xf numFmtId="43" fontId="14" fillId="5" borderId="25" xfId="1" applyNumberFormat="1" applyFont="1" applyFill="1" applyBorder="1"/>
    <xf numFmtId="0" fontId="12" fillId="2" borderId="25" xfId="2" applyNumberFormat="1" applyFont="1" applyFill="1" applyBorder="1" applyAlignment="1">
      <alignment vertical="top" wrapText="1"/>
    </xf>
    <xf numFmtId="0" fontId="18" fillId="6" borderId="24" xfId="0" applyFont="1" applyFill="1" applyBorder="1"/>
    <xf numFmtId="49" fontId="12" fillId="2" borderId="24" xfId="2" applyNumberFormat="1" applyFont="1" applyFill="1" applyBorder="1" applyAlignment="1">
      <alignment horizontal="center"/>
    </xf>
    <xf numFmtId="0" fontId="10" fillId="0" borderId="24" xfId="0" applyFont="1" applyBorder="1" applyAlignment="1">
      <alignment wrapText="1"/>
    </xf>
    <xf numFmtId="49" fontId="17" fillId="3" borderId="23" xfId="0" applyNumberFormat="1" applyFont="1" applyFill="1" applyBorder="1"/>
    <xf numFmtId="0" fontId="18" fillId="3" borderId="24" xfId="0" applyFont="1" applyFill="1" applyBorder="1" applyAlignment="1">
      <alignment wrapText="1"/>
    </xf>
    <xf numFmtId="0" fontId="17" fillId="3" borderId="24" xfId="0" applyFont="1" applyFill="1" applyBorder="1" applyAlignment="1">
      <alignment horizontal="center"/>
    </xf>
    <xf numFmtId="43" fontId="17" fillId="3" borderId="24" xfId="1" applyNumberFormat="1" applyFont="1" applyFill="1" applyBorder="1"/>
    <xf numFmtId="165" fontId="17" fillId="3" borderId="24" xfId="1" applyNumberFormat="1" applyFont="1" applyFill="1" applyBorder="1"/>
    <xf numFmtId="43" fontId="17" fillId="3" borderId="24" xfId="1" applyFont="1" applyFill="1" applyBorder="1"/>
    <xf numFmtId="49" fontId="11" fillId="3" borderId="23" xfId="0" applyNumberFormat="1" applyFont="1" applyFill="1" applyBorder="1"/>
    <xf numFmtId="0" fontId="11" fillId="3" borderId="24" xfId="0" applyFont="1" applyFill="1" applyBorder="1" applyAlignment="1">
      <alignment wrapText="1"/>
    </xf>
    <xf numFmtId="0" fontId="11" fillId="3" borderId="24" xfId="0" applyFont="1" applyFill="1" applyBorder="1" applyAlignment="1">
      <alignment horizontal="center"/>
    </xf>
    <xf numFmtId="43" fontId="11" fillId="3" borderId="24" xfId="1" applyNumberFormat="1" applyFont="1" applyFill="1" applyBorder="1"/>
    <xf numFmtId="0" fontId="17" fillId="0" borderId="24" xfId="0" applyFont="1" applyBorder="1" applyAlignment="1">
      <alignment wrapText="1"/>
    </xf>
    <xf numFmtId="0" fontId="13" fillId="2" borderId="24" xfId="2" quotePrefix="1" applyNumberFormat="1" applyFont="1" applyFill="1" applyBorder="1" applyAlignment="1">
      <alignment horizontal="center"/>
    </xf>
    <xf numFmtId="0" fontId="12" fillId="2" borderId="25" xfId="2" applyNumberFormat="1" applyFont="1" applyFill="1" applyBorder="1" applyAlignment="1"/>
    <xf numFmtId="0" fontId="12" fillId="2" borderId="24" xfId="2" applyNumberFormat="1" applyFont="1" applyFill="1" applyBorder="1" applyAlignment="1"/>
    <xf numFmtId="0" fontId="18" fillId="0" borderId="24" xfId="0" applyFont="1" applyBorder="1"/>
    <xf numFmtId="0" fontId="13" fillId="5" borderId="24" xfId="2" applyNumberFormat="1" applyFont="1" applyFill="1" applyBorder="1" applyAlignment="1">
      <alignment horizontal="center"/>
    </xf>
    <xf numFmtId="43" fontId="14" fillId="5" borderId="25" xfId="2" applyFont="1" applyFill="1" applyBorder="1"/>
    <xf numFmtId="0" fontId="12" fillId="2" borderId="24" xfId="2" applyNumberFormat="1" applyFont="1" applyFill="1" applyBorder="1" applyAlignment="1">
      <alignment wrapText="1"/>
    </xf>
    <xf numFmtId="43" fontId="17" fillId="0" borderId="24" xfId="1" applyFont="1" applyBorder="1" applyAlignment="1"/>
    <xf numFmtId="49" fontId="17" fillId="10" borderId="23" xfId="0" applyNumberFormat="1" applyFont="1" applyFill="1" applyBorder="1"/>
    <xf numFmtId="0" fontId="18" fillId="10" borderId="24" xfId="0" applyFont="1" applyFill="1" applyBorder="1"/>
    <xf numFmtId="0" fontId="11" fillId="10" borderId="24" xfId="0" applyFont="1" applyFill="1" applyBorder="1" applyAlignment="1">
      <alignment horizontal="center"/>
    </xf>
    <xf numFmtId="43" fontId="11" fillId="10" borderId="24" xfId="1" applyNumberFormat="1" applyFont="1" applyFill="1" applyBorder="1"/>
    <xf numFmtId="165" fontId="11" fillId="10" borderId="24" xfId="1" applyNumberFormat="1" applyFont="1" applyFill="1" applyBorder="1"/>
    <xf numFmtId="49" fontId="14" fillId="3" borderId="23" xfId="2" applyNumberFormat="1" applyFont="1" applyFill="1" applyBorder="1" applyAlignment="1">
      <alignment horizontal="center" vertical="justify"/>
    </xf>
    <xf numFmtId="0" fontId="13" fillId="3" borderId="24" xfId="2" quotePrefix="1" applyNumberFormat="1" applyFont="1" applyFill="1" applyBorder="1" applyAlignment="1">
      <alignment horizontal="center"/>
    </xf>
    <xf numFmtId="43" fontId="14" fillId="3" borderId="24" xfId="2" applyFont="1" applyFill="1" applyBorder="1" applyAlignment="1">
      <alignment horizontal="center"/>
    </xf>
    <xf numFmtId="0" fontId="13" fillId="3" borderId="24" xfId="2" applyNumberFormat="1" applyFont="1" applyFill="1" applyBorder="1" applyAlignment="1">
      <alignment horizontal="center"/>
    </xf>
    <xf numFmtId="49" fontId="14" fillId="3" borderId="23" xfId="2" applyNumberFormat="1" applyFont="1" applyFill="1" applyBorder="1" applyAlignment="1">
      <alignment horizontal="center"/>
    </xf>
    <xf numFmtId="0" fontId="12" fillId="3" borderId="24" xfId="2" applyNumberFormat="1" applyFont="1" applyFill="1" applyBorder="1" applyAlignment="1">
      <alignment horizontal="left" wrapText="1"/>
    </xf>
    <xf numFmtId="0" fontId="12" fillId="7" borderId="24" xfId="1" applyNumberFormat="1" applyFont="1" applyFill="1" applyBorder="1" applyAlignment="1">
      <alignment vertical="center" wrapText="1"/>
    </xf>
    <xf numFmtId="0" fontId="12" fillId="7" borderId="24" xfId="1" applyNumberFormat="1" applyFont="1" applyFill="1" applyBorder="1" applyAlignment="1">
      <alignment vertical="center"/>
    </xf>
    <xf numFmtId="0" fontId="12" fillId="7" borderId="25" xfId="1" applyNumberFormat="1" applyFont="1" applyFill="1" applyBorder="1" applyAlignment="1">
      <alignment vertical="center"/>
    </xf>
    <xf numFmtId="0" fontId="12" fillId="0" borderId="24" xfId="0" applyFont="1" applyBorder="1" applyAlignment="1">
      <alignment vertical="center" wrapText="1"/>
    </xf>
    <xf numFmtId="0" fontId="12" fillId="0" borderId="25" xfId="0" applyFont="1" applyBorder="1" applyAlignment="1">
      <alignment vertical="center" wrapText="1"/>
    </xf>
    <xf numFmtId="0" fontId="12" fillId="2" borderId="24" xfId="3" applyNumberFormat="1" applyFont="1" applyFill="1" applyBorder="1" applyAlignment="1">
      <alignment wrapText="1"/>
    </xf>
    <xf numFmtId="0" fontId="12" fillId="2" borderId="25" xfId="3" applyNumberFormat="1" applyFont="1" applyFill="1" applyBorder="1" applyAlignment="1">
      <alignment wrapText="1"/>
    </xf>
    <xf numFmtId="0" fontId="13" fillId="5" borderId="24" xfId="2" applyNumberFormat="1" applyFont="1" applyFill="1" applyBorder="1" applyAlignment="1">
      <alignment horizontal="left"/>
    </xf>
    <xf numFmtId="0" fontId="14" fillId="6" borderId="24" xfId="3" applyFont="1" applyFill="1" applyBorder="1" applyAlignment="1">
      <alignment horizontal="center"/>
    </xf>
    <xf numFmtId="43" fontId="14" fillId="6" borderId="24" xfId="1" applyNumberFormat="1" applyFont="1" applyFill="1" applyBorder="1" applyAlignment="1">
      <alignment horizontal="center"/>
    </xf>
    <xf numFmtId="0" fontId="12" fillId="3" borderId="24" xfId="2" applyNumberFormat="1" applyFont="1" applyFill="1" applyBorder="1" applyAlignment="1">
      <alignment horizontal="justify"/>
    </xf>
    <xf numFmtId="0" fontId="12" fillId="2" borderId="25" xfId="2" applyNumberFormat="1" applyFont="1" applyFill="1" applyBorder="1" applyAlignment="1">
      <alignment vertical="top"/>
    </xf>
    <xf numFmtId="0" fontId="12" fillId="2" borderId="24" xfId="3" applyFont="1" applyFill="1" applyBorder="1" applyAlignment="1">
      <alignment horizontal="left" wrapText="1"/>
    </xf>
    <xf numFmtId="0" fontId="13" fillId="6" borderId="24" xfId="2" applyNumberFormat="1" applyFont="1" applyFill="1" applyBorder="1" applyAlignment="1">
      <alignment horizontal="left"/>
    </xf>
    <xf numFmtId="0" fontId="12" fillId="6" borderId="24" xfId="2" applyNumberFormat="1" applyFont="1" applyFill="1" applyBorder="1" applyAlignment="1">
      <alignment horizontal="center"/>
    </xf>
    <xf numFmtId="43" fontId="12" fillId="6" borderId="25" xfId="2" applyFont="1" applyFill="1" applyBorder="1"/>
    <xf numFmtId="49" fontId="14" fillId="2" borderId="23" xfId="3" applyNumberFormat="1" applyFont="1" applyFill="1" applyBorder="1" applyAlignment="1">
      <alignment horizontal="center"/>
    </xf>
    <xf numFmtId="0" fontId="13" fillId="0" borderId="24" xfId="3" applyFont="1" applyFill="1" applyBorder="1" applyAlignment="1">
      <alignment horizontal="left" wrapText="1"/>
    </xf>
    <xf numFmtId="0" fontId="22" fillId="0" borderId="24" xfId="3" applyFont="1" applyFill="1" applyBorder="1" applyAlignment="1">
      <alignment horizontal="center"/>
    </xf>
    <xf numFmtId="43" fontId="22" fillId="3" borderId="24" xfId="1" applyNumberFormat="1" applyFont="1" applyFill="1" applyBorder="1" applyAlignment="1">
      <alignment horizontal="center"/>
    </xf>
    <xf numFmtId="165" fontId="14" fillId="2" borderId="24" xfId="1" applyNumberFormat="1" applyFont="1" applyFill="1" applyBorder="1" applyAlignment="1">
      <alignment horizontal="center"/>
    </xf>
    <xf numFmtId="49" fontId="14" fillId="2" borderId="23" xfId="2" applyNumberFormat="1" applyFont="1" applyFill="1" applyBorder="1" applyAlignment="1">
      <alignment horizontal="left" vertical="justify"/>
    </xf>
    <xf numFmtId="43" fontId="12" fillId="2" borderId="24" xfId="1" applyNumberFormat="1" applyFont="1" applyFill="1" applyBorder="1" applyAlignment="1">
      <alignment horizontal="center"/>
    </xf>
    <xf numFmtId="49" fontId="12" fillId="2" borderId="23" xfId="2" applyNumberFormat="1" applyFont="1" applyFill="1" applyBorder="1" applyAlignment="1">
      <alignment horizontal="left" vertical="justify"/>
    </xf>
    <xf numFmtId="49" fontId="12" fillId="2" borderId="23" xfId="2" applyNumberFormat="1" applyFont="1" applyFill="1" applyBorder="1" applyAlignment="1">
      <alignment horizontal="left"/>
    </xf>
    <xf numFmtId="165" fontId="12" fillId="2" borderId="23" xfId="1" applyNumberFormat="1" applyFont="1" applyFill="1" applyBorder="1" applyAlignment="1">
      <alignment horizontal="left" vertical="justify"/>
    </xf>
    <xf numFmtId="165" fontId="14" fillId="5" borderId="23" xfId="1" applyNumberFormat="1" applyFont="1" applyFill="1" applyBorder="1" applyAlignment="1">
      <alignment horizontal="left" vertical="justify"/>
    </xf>
    <xf numFmtId="0" fontId="12" fillId="5" borderId="24" xfId="3" applyFont="1" applyFill="1" applyBorder="1" applyAlignment="1">
      <alignment horizontal="center"/>
    </xf>
    <xf numFmtId="43" fontId="12" fillId="5" borderId="24" xfId="1" applyFont="1" applyFill="1" applyBorder="1" applyAlignment="1">
      <alignment horizontal="center"/>
    </xf>
    <xf numFmtId="43" fontId="11" fillId="5" borderId="24" xfId="1" applyFont="1" applyFill="1" applyBorder="1"/>
    <xf numFmtId="43" fontId="11" fillId="5" borderId="25" xfId="1" applyFont="1" applyFill="1" applyBorder="1"/>
    <xf numFmtId="165" fontId="14" fillId="2" borderId="23" xfId="1" applyNumberFormat="1" applyFont="1" applyFill="1" applyBorder="1" applyAlignment="1">
      <alignment horizontal="left" vertical="justify"/>
    </xf>
    <xf numFmtId="0" fontId="14" fillId="0" borderId="24" xfId="3" applyFont="1" applyBorder="1" applyAlignment="1">
      <alignment horizontal="left" wrapText="1"/>
    </xf>
    <xf numFmtId="0" fontId="14" fillId="0" borderId="24" xfId="3" applyFont="1" applyBorder="1" applyAlignment="1">
      <alignment horizontal="center"/>
    </xf>
    <xf numFmtId="43" fontId="14" fillId="3" borderId="24" xfId="1" applyFont="1" applyFill="1" applyBorder="1" applyAlignment="1">
      <alignment horizontal="center"/>
    </xf>
    <xf numFmtId="165" fontId="14" fillId="11" borderId="23" xfId="1" applyNumberFormat="1" applyFont="1" applyFill="1" applyBorder="1" applyAlignment="1">
      <alignment horizontal="left" vertical="justify"/>
    </xf>
    <xf numFmtId="0" fontId="14" fillId="11" borderId="24" xfId="3" applyFont="1" applyFill="1" applyBorder="1" applyAlignment="1">
      <alignment horizontal="left" wrapText="1"/>
    </xf>
    <xf numFmtId="0" fontId="14" fillId="11" borderId="24" xfId="3" applyFont="1" applyFill="1" applyBorder="1" applyAlignment="1">
      <alignment horizontal="center"/>
    </xf>
    <xf numFmtId="43" fontId="14" fillId="11" borderId="24" xfId="1" applyFont="1" applyFill="1" applyBorder="1" applyAlignment="1">
      <alignment horizontal="center"/>
    </xf>
    <xf numFmtId="165" fontId="14" fillId="11" borderId="24" xfId="1" applyNumberFormat="1" applyFont="1" applyFill="1" applyBorder="1" applyAlignment="1">
      <alignment horizontal="center"/>
    </xf>
    <xf numFmtId="43" fontId="17" fillId="11" borderId="24" xfId="1" applyFont="1" applyFill="1" applyBorder="1"/>
    <xf numFmtId="43" fontId="17" fillId="11" borderId="25" xfId="1" applyFont="1" applyFill="1" applyBorder="1"/>
    <xf numFmtId="165" fontId="14" fillId="2" borderId="23" xfId="1" applyNumberFormat="1" applyFont="1" applyFill="1" applyBorder="1" applyAlignment="1">
      <alignment horizontal="left"/>
    </xf>
    <xf numFmtId="0" fontId="13" fillId="0" borderId="24" xfId="3" applyNumberFormat="1" applyFont="1" applyBorder="1" applyAlignment="1">
      <alignment horizontal="left"/>
    </xf>
    <xf numFmtId="165" fontId="14" fillId="3" borderId="23" xfId="1" applyNumberFormat="1" applyFont="1" applyFill="1" applyBorder="1" applyAlignment="1">
      <alignment horizontal="left" vertical="justify"/>
    </xf>
    <xf numFmtId="0" fontId="14" fillId="3" borderId="24" xfId="3" applyFont="1" applyFill="1" applyBorder="1" applyAlignment="1">
      <alignment horizontal="left" wrapText="1"/>
    </xf>
    <xf numFmtId="0" fontId="14" fillId="3" borderId="24" xfId="3" applyFont="1" applyFill="1" applyBorder="1" applyAlignment="1">
      <alignment horizontal="center"/>
    </xf>
    <xf numFmtId="165" fontId="14" fillId="3" borderId="24" xfId="1" applyNumberFormat="1" applyFont="1" applyFill="1" applyBorder="1" applyAlignment="1">
      <alignment horizontal="center"/>
    </xf>
    <xf numFmtId="165" fontId="14" fillId="3" borderId="23" xfId="1" applyNumberFormat="1" applyFont="1" applyFill="1" applyBorder="1" applyAlignment="1">
      <alignment horizontal="left"/>
    </xf>
    <xf numFmtId="0" fontId="13" fillId="3" borderId="24" xfId="3" applyNumberFormat="1" applyFont="1" applyFill="1" applyBorder="1" applyAlignment="1">
      <alignment horizontal="left"/>
    </xf>
    <xf numFmtId="43" fontId="17" fillId="3" borderId="24" xfId="1" applyFont="1" applyFill="1" applyBorder="1" applyAlignment="1"/>
    <xf numFmtId="165" fontId="12" fillId="3" borderId="23" xfId="1" applyNumberFormat="1" applyFont="1" applyFill="1" applyBorder="1" applyAlignment="1">
      <alignment horizontal="left" vertical="justify"/>
    </xf>
    <xf numFmtId="165" fontId="12" fillId="5" borderId="23" xfId="1" applyNumberFormat="1" applyFont="1" applyFill="1" applyBorder="1" applyAlignment="1">
      <alignment horizontal="left" vertical="justify"/>
    </xf>
    <xf numFmtId="165" fontId="12" fillId="2" borderId="26" xfId="1" applyNumberFormat="1" applyFont="1" applyFill="1" applyBorder="1" applyAlignment="1">
      <alignment horizontal="left" vertical="justify"/>
    </xf>
    <xf numFmtId="0" fontId="14" fillId="2" borderId="27" xfId="2" quotePrefix="1" applyNumberFormat="1" applyFont="1" applyFill="1" applyBorder="1" applyAlignment="1">
      <alignment horizontal="left"/>
    </xf>
    <xf numFmtId="0" fontId="11" fillId="0" borderId="27" xfId="0" applyFont="1" applyBorder="1" applyAlignment="1">
      <alignment horizontal="center"/>
    </xf>
    <xf numFmtId="43" fontId="11" fillId="0" borderId="27" xfId="1" applyFont="1" applyBorder="1"/>
    <xf numFmtId="165" fontId="11" fillId="0" borderId="27" xfId="1" applyNumberFormat="1" applyFont="1" applyBorder="1"/>
    <xf numFmtId="43" fontId="17" fillId="0" borderId="28" xfId="1" applyFont="1" applyBorder="1"/>
    <xf numFmtId="0" fontId="14" fillId="2" borderId="34" xfId="2" quotePrefix="1" applyNumberFormat="1" applyFont="1" applyFill="1" applyBorder="1" applyAlignment="1">
      <alignment horizontal="left"/>
    </xf>
    <xf numFmtId="0" fontId="12" fillId="3" borderId="34" xfId="3" applyFont="1" applyFill="1" applyBorder="1" applyAlignment="1">
      <alignment horizontal="center"/>
    </xf>
    <xf numFmtId="43" fontId="12" fillId="3" borderId="34" xfId="1" applyNumberFormat="1" applyFont="1" applyFill="1" applyBorder="1" applyAlignment="1">
      <alignment horizontal="center"/>
    </xf>
    <xf numFmtId="49" fontId="12" fillId="2" borderId="26" xfId="2" applyNumberFormat="1" applyFont="1" applyFill="1" applyBorder="1" applyAlignment="1">
      <alignment horizontal="center" vertical="justify"/>
    </xf>
    <xf numFmtId="0" fontId="12" fillId="4" borderId="27" xfId="3" applyFont="1" applyFill="1" applyBorder="1" applyAlignment="1">
      <alignment horizontal="center"/>
    </xf>
    <xf numFmtId="43" fontId="12" fillId="3" borderId="27" xfId="1" applyNumberFormat="1" applyFont="1" applyFill="1" applyBorder="1" applyAlignment="1">
      <alignment horizontal="center"/>
    </xf>
    <xf numFmtId="165" fontId="12" fillId="2" borderId="27" xfId="1" applyNumberFormat="1" applyFont="1" applyFill="1" applyBorder="1" applyAlignment="1">
      <alignment horizontal="center"/>
    </xf>
    <xf numFmtId="43" fontId="11" fillId="0" borderId="27" xfId="1" applyFont="1" applyBorder="1" applyAlignment="1">
      <alignment horizontal="center" vertical="center" wrapText="1"/>
    </xf>
    <xf numFmtId="43" fontId="17" fillId="0" borderId="28" xfId="1" applyFont="1" applyBorder="1" applyAlignment="1">
      <alignment horizontal="center" vertical="center" wrapText="1"/>
    </xf>
    <xf numFmtId="43" fontId="12" fillId="2" borderId="34" xfId="2" applyFont="1" applyFill="1" applyBorder="1" applyAlignment="1">
      <alignment horizontal="center"/>
    </xf>
    <xf numFmtId="43" fontId="12" fillId="2" borderId="27" xfId="2" applyFont="1" applyFill="1" applyBorder="1" applyAlignment="1">
      <alignment horizontal="center"/>
    </xf>
    <xf numFmtId="49" fontId="11" fillId="3" borderId="26" xfId="0" applyNumberFormat="1" applyFont="1" applyFill="1" applyBorder="1"/>
    <xf numFmtId="0" fontId="11" fillId="3" borderId="27" xfId="0" applyFont="1" applyFill="1" applyBorder="1" applyAlignment="1">
      <alignment wrapText="1"/>
    </xf>
    <xf numFmtId="0" fontId="11" fillId="3" borderId="27" xfId="0" applyFont="1" applyFill="1" applyBorder="1" applyAlignment="1">
      <alignment horizontal="center"/>
    </xf>
    <xf numFmtId="43" fontId="11" fillId="3" borderId="27" xfId="1" applyNumberFormat="1" applyFont="1" applyFill="1" applyBorder="1"/>
    <xf numFmtId="43" fontId="11" fillId="0" borderId="28" xfId="1" applyFont="1" applyBorder="1"/>
    <xf numFmtId="43" fontId="11" fillId="0" borderId="34" xfId="1" applyFont="1" applyBorder="1"/>
    <xf numFmtId="43" fontId="11" fillId="0" borderId="35" xfId="1" applyFont="1" applyBorder="1"/>
    <xf numFmtId="43" fontId="11" fillId="0" borderId="37" xfId="1" applyFont="1" applyBorder="1"/>
    <xf numFmtId="0" fontId="12" fillId="2" borderId="37" xfId="2" applyNumberFormat="1" applyFont="1" applyFill="1" applyBorder="1" applyAlignment="1">
      <alignment wrapText="1"/>
    </xf>
    <xf numFmtId="0" fontId="12" fillId="2" borderId="37" xfId="2" applyNumberFormat="1" applyFont="1" applyFill="1" applyBorder="1" applyAlignment="1"/>
    <xf numFmtId="49" fontId="14" fillId="2" borderId="33" xfId="2" applyNumberFormat="1" applyFont="1" applyFill="1" applyBorder="1" applyAlignment="1">
      <alignment horizontal="center" vertical="justify"/>
    </xf>
    <xf numFmtId="43" fontId="11" fillId="0" borderId="38" xfId="1" applyFont="1" applyBorder="1"/>
    <xf numFmtId="0" fontId="12" fillId="2" borderId="39" xfId="2" applyNumberFormat="1" applyFont="1" applyFill="1" applyBorder="1" applyAlignment="1"/>
    <xf numFmtId="43" fontId="12" fillId="2" borderId="42" xfId="2" applyFont="1" applyFill="1" applyBorder="1" applyAlignment="1">
      <alignment horizontal="center"/>
    </xf>
    <xf numFmtId="43" fontId="12" fillId="3" borderId="42" xfId="1" applyNumberFormat="1" applyFont="1" applyFill="1" applyBorder="1" applyAlignment="1">
      <alignment horizontal="center"/>
    </xf>
    <xf numFmtId="165" fontId="12" fillId="2" borderId="42" xfId="1" applyNumberFormat="1" applyFont="1" applyFill="1" applyBorder="1" applyAlignment="1">
      <alignment horizontal="center"/>
    </xf>
    <xf numFmtId="43" fontId="11" fillId="0" borderId="42" xfId="1" applyFont="1" applyBorder="1"/>
    <xf numFmtId="0" fontId="12" fillId="2" borderId="41" xfId="2" applyNumberFormat="1" applyFont="1" applyFill="1" applyBorder="1" applyAlignment="1"/>
    <xf numFmtId="0" fontId="13" fillId="2" borderId="16" xfId="2" applyNumberFormat="1" applyFont="1" applyFill="1" applyBorder="1"/>
    <xf numFmtId="43" fontId="12" fillId="2" borderId="0" xfId="2" applyFont="1" applyFill="1" applyBorder="1" applyAlignment="1">
      <alignment horizontal="center"/>
    </xf>
    <xf numFmtId="165" fontId="12" fillId="2" borderId="0" xfId="1" applyNumberFormat="1" applyFont="1" applyFill="1" applyBorder="1" applyAlignment="1">
      <alignment horizontal="center"/>
    </xf>
    <xf numFmtId="0" fontId="13" fillId="2" borderId="42" xfId="2" quotePrefix="1" applyNumberFormat="1" applyFont="1" applyFill="1" applyBorder="1" applyAlignment="1">
      <alignment horizontal="center"/>
    </xf>
    <xf numFmtId="0" fontId="13" fillId="2" borderId="0" xfId="2" applyNumberFormat="1" applyFont="1" applyFill="1" applyBorder="1" applyAlignment="1">
      <alignment horizontal="center"/>
    </xf>
    <xf numFmtId="49" fontId="11" fillId="0" borderId="26" xfId="0" applyNumberFormat="1" applyFont="1" applyBorder="1"/>
    <xf numFmtId="0" fontId="11" fillId="0" borderId="27" xfId="0" applyFont="1" applyBorder="1" applyAlignment="1">
      <alignment wrapText="1"/>
    </xf>
    <xf numFmtId="43" fontId="11" fillId="0" borderId="27" xfId="1" applyNumberFormat="1" applyFont="1" applyBorder="1"/>
    <xf numFmtId="49" fontId="14" fillId="2" borderId="26" xfId="2" applyNumberFormat="1" applyFont="1" applyFill="1" applyBorder="1" applyAlignment="1">
      <alignment horizontal="center" vertical="justify"/>
    </xf>
    <xf numFmtId="43" fontId="14" fillId="2" borderId="27" xfId="2" applyFont="1" applyFill="1" applyBorder="1" applyAlignment="1">
      <alignment horizontal="center"/>
    </xf>
    <xf numFmtId="43" fontId="14" fillId="3" borderId="27" xfId="1" applyNumberFormat="1" applyFont="1" applyFill="1" applyBorder="1" applyAlignment="1">
      <alignment horizontal="center"/>
    </xf>
    <xf numFmtId="0" fontId="13" fillId="2" borderId="0" xfId="2" quotePrefix="1" applyNumberFormat="1" applyFont="1" applyFill="1" applyBorder="1" applyAlignment="1">
      <alignment horizontal="center"/>
    </xf>
    <xf numFmtId="0" fontId="13" fillId="2" borderId="0" xfId="2" applyNumberFormat="1" applyFont="1" applyFill="1" applyBorder="1" applyAlignment="1">
      <alignment horizontal="justify" vertical="top"/>
    </xf>
    <xf numFmtId="0" fontId="12" fillId="2" borderId="41" xfId="2" applyNumberFormat="1" applyFont="1" applyFill="1" applyBorder="1" applyAlignment="1">
      <alignment horizontal="left" wrapText="1"/>
    </xf>
    <xf numFmtId="0" fontId="11" fillId="0" borderId="34" xfId="0" applyFont="1" applyBorder="1" applyAlignment="1">
      <alignment horizontal="center"/>
    </xf>
    <xf numFmtId="43" fontId="11" fillId="0" borderId="34" xfId="1" applyNumberFormat="1" applyFont="1" applyBorder="1"/>
    <xf numFmtId="165" fontId="11" fillId="0" borderId="34" xfId="1" applyNumberFormat="1" applyFont="1" applyBorder="1"/>
    <xf numFmtId="165" fontId="12" fillId="2" borderId="33" xfId="1" applyNumberFormat="1" applyFont="1" applyFill="1" applyBorder="1" applyAlignment="1">
      <alignment horizontal="left" vertical="justify"/>
    </xf>
    <xf numFmtId="49" fontId="12" fillId="2" borderId="27" xfId="2" applyNumberFormat="1" applyFont="1" applyFill="1" applyBorder="1" applyAlignment="1">
      <alignment horizontal="center"/>
    </xf>
    <xf numFmtId="49" fontId="14" fillId="5" borderId="43" xfId="2" applyNumberFormat="1" applyFont="1" applyFill="1" applyBorder="1" applyAlignment="1">
      <alignment horizontal="center" vertical="justify"/>
    </xf>
    <xf numFmtId="43" fontId="12" fillId="5" borderId="44" xfId="1" applyNumberFormat="1" applyFont="1" applyFill="1" applyBorder="1" applyAlignment="1">
      <alignment horizontal="center"/>
    </xf>
    <xf numFmtId="43" fontId="14" fillId="5" borderId="45" xfId="1" applyNumberFormat="1" applyFont="1" applyFill="1" applyBorder="1"/>
    <xf numFmtId="49" fontId="12" fillId="2" borderId="46" xfId="2" applyNumberFormat="1" applyFont="1" applyFill="1" applyBorder="1" applyAlignment="1">
      <alignment horizontal="center" vertical="justify"/>
    </xf>
    <xf numFmtId="0" fontId="12" fillId="2" borderId="47" xfId="2" applyNumberFormat="1" applyFont="1" applyFill="1" applyBorder="1" applyAlignment="1">
      <alignment wrapText="1"/>
    </xf>
    <xf numFmtId="0" fontId="12" fillId="2" borderId="48" xfId="2" applyNumberFormat="1" applyFont="1" applyFill="1" applyBorder="1" applyAlignment="1">
      <alignment wrapText="1"/>
    </xf>
    <xf numFmtId="0" fontId="12" fillId="2" borderId="49" xfId="2" applyNumberFormat="1" applyFont="1" applyFill="1" applyBorder="1" applyAlignment="1">
      <alignment wrapText="1"/>
    </xf>
    <xf numFmtId="0" fontId="12" fillId="2" borderId="50" xfId="2" applyNumberFormat="1" applyFont="1" applyFill="1" applyBorder="1" applyAlignment="1">
      <alignment wrapText="1"/>
    </xf>
    <xf numFmtId="0" fontId="12" fillId="2" borderId="51" xfId="2" applyNumberFormat="1" applyFont="1" applyFill="1" applyBorder="1" applyAlignment="1">
      <alignment wrapText="1"/>
    </xf>
    <xf numFmtId="0" fontId="13" fillId="5" borderId="52" xfId="2" applyNumberFormat="1" applyFont="1" applyFill="1" applyBorder="1" applyAlignment="1">
      <alignment horizontal="center" vertical="top"/>
    </xf>
    <xf numFmtId="43" fontId="12" fillId="5" borderId="52" xfId="2" applyFont="1" applyFill="1" applyBorder="1" applyAlignment="1">
      <alignment horizontal="center"/>
    </xf>
    <xf numFmtId="43" fontId="12" fillId="5" borderId="52" xfId="1" applyNumberFormat="1" applyFont="1" applyFill="1" applyBorder="1" applyAlignment="1">
      <alignment horizontal="center"/>
    </xf>
    <xf numFmtId="165" fontId="12" fillId="5" borderId="53" xfId="1" applyNumberFormat="1" applyFont="1" applyFill="1" applyBorder="1" applyAlignment="1">
      <alignment horizontal="center"/>
    </xf>
    <xf numFmtId="0" fontId="11" fillId="0" borderId="36" xfId="0" applyFont="1" applyBorder="1" applyAlignment="1">
      <alignment wrapText="1"/>
    </xf>
    <xf numFmtId="0" fontId="18" fillId="6" borderId="36" xfId="0" applyFont="1" applyFill="1" applyBorder="1" applyAlignment="1">
      <alignment wrapText="1"/>
    </xf>
    <xf numFmtId="0" fontId="18" fillId="0" borderId="36" xfId="0" applyFont="1" applyBorder="1" applyAlignment="1">
      <alignment wrapText="1"/>
    </xf>
    <xf numFmtId="43" fontId="12" fillId="3" borderId="34" xfId="1" applyFont="1" applyFill="1" applyBorder="1" applyAlignment="1">
      <alignment horizontal="center"/>
    </xf>
    <xf numFmtId="49" fontId="12" fillId="2" borderId="54" xfId="2" applyNumberFormat="1" applyFont="1" applyFill="1" applyBorder="1" applyAlignment="1">
      <alignment horizontal="center" vertical="justify"/>
    </xf>
    <xf numFmtId="0" fontId="14" fillId="2" borderId="42" xfId="2" quotePrefix="1" applyNumberFormat="1" applyFont="1" applyFill="1" applyBorder="1" applyAlignment="1">
      <alignment horizontal="left"/>
    </xf>
    <xf numFmtId="0" fontId="11" fillId="0" borderId="42" xfId="0" applyFont="1" applyBorder="1" applyAlignment="1">
      <alignment horizontal="center"/>
    </xf>
    <xf numFmtId="43" fontId="11" fillId="0" borderId="42" xfId="1" applyNumberFormat="1" applyFont="1" applyBorder="1"/>
    <xf numFmtId="165" fontId="11" fillId="0" borderId="42" xfId="1" applyNumberFormat="1" applyFont="1" applyBorder="1"/>
    <xf numFmtId="43" fontId="17" fillId="0" borderId="38" xfId="1" applyFont="1" applyBorder="1"/>
    <xf numFmtId="49" fontId="12" fillId="2" borderId="55" xfId="2" applyNumberFormat="1" applyFont="1" applyFill="1" applyBorder="1" applyAlignment="1">
      <alignment horizontal="center" vertical="justify"/>
    </xf>
    <xf numFmtId="0" fontId="14" fillId="2" borderId="0" xfId="2" quotePrefix="1" applyNumberFormat="1" applyFont="1" applyFill="1" applyBorder="1" applyAlignment="1">
      <alignment horizontal="left"/>
    </xf>
    <xf numFmtId="43" fontId="17" fillId="0" borderId="37" xfId="1" applyFont="1" applyBorder="1"/>
    <xf numFmtId="49" fontId="12" fillId="2" borderId="56" xfId="2" applyNumberFormat="1" applyFont="1" applyFill="1" applyBorder="1" applyAlignment="1">
      <alignment horizontal="center" vertical="justify"/>
    </xf>
    <xf numFmtId="0" fontId="14" fillId="2" borderId="41" xfId="2" quotePrefix="1" applyNumberFormat="1" applyFont="1" applyFill="1" applyBorder="1" applyAlignment="1">
      <alignment horizontal="left"/>
    </xf>
    <xf numFmtId="0" fontId="11" fillId="0" borderId="41" xfId="0" applyFont="1" applyBorder="1" applyAlignment="1">
      <alignment horizontal="center"/>
    </xf>
    <xf numFmtId="43" fontId="11" fillId="0" borderId="41" xfId="1" applyNumberFormat="1" applyFont="1" applyBorder="1"/>
    <xf numFmtId="165" fontId="11" fillId="0" borderId="41" xfId="1" applyNumberFormat="1" applyFont="1" applyBorder="1"/>
    <xf numFmtId="43" fontId="11" fillId="0" borderId="41" xfId="1" applyFont="1" applyBorder="1"/>
    <xf numFmtId="43" fontId="17" fillId="0" borderId="39" xfId="1" applyFont="1" applyBorder="1"/>
    <xf numFmtId="0" fontId="27" fillId="0" borderId="31" xfId="0" applyFont="1" applyBorder="1" applyAlignment="1">
      <alignment horizontal="center"/>
    </xf>
    <xf numFmtId="0" fontId="27" fillId="0" borderId="31" xfId="0" applyFont="1" applyBorder="1" applyAlignment="1">
      <alignment horizontal="center"/>
    </xf>
    <xf numFmtId="0" fontId="27" fillId="0" borderId="32"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2" fillId="2" borderId="24" xfId="2" applyNumberFormat="1" applyFont="1" applyFill="1" applyBorder="1" applyAlignment="1">
      <alignment horizontal="left" wrapText="1"/>
    </xf>
    <xf numFmtId="0" fontId="12" fillId="2" borderId="24" xfId="2" applyNumberFormat="1" applyFont="1" applyFill="1" applyBorder="1" applyAlignment="1">
      <alignment wrapText="1"/>
    </xf>
    <xf numFmtId="49" fontId="20" fillId="0" borderId="0" xfId="0" applyNumberFormat="1" applyFont="1" applyAlignment="1">
      <alignment horizontal="center"/>
    </xf>
    <xf numFmtId="0" fontId="14" fillId="2" borderId="24" xfId="2" applyNumberFormat="1" applyFont="1" applyFill="1" applyBorder="1" applyAlignment="1">
      <alignment horizontal="left" wrapText="1"/>
    </xf>
    <xf numFmtId="0" fontId="14" fillId="2" borderId="24" xfId="2" applyNumberFormat="1" applyFont="1" applyFill="1" applyBorder="1" applyAlignment="1">
      <alignment horizontal="left"/>
    </xf>
    <xf numFmtId="0" fontId="14" fillId="2" borderId="25" xfId="2" applyNumberFormat="1" applyFont="1" applyFill="1" applyBorder="1" applyAlignment="1">
      <alignment horizontal="left"/>
    </xf>
    <xf numFmtId="0" fontId="12" fillId="2" borderId="40" xfId="2" applyNumberFormat="1" applyFont="1" applyFill="1" applyBorder="1" applyAlignment="1">
      <alignment horizontal="left" wrapText="1"/>
    </xf>
    <xf numFmtId="0" fontId="12" fillId="2" borderId="41" xfId="2" applyNumberFormat="1" applyFont="1" applyFill="1" applyBorder="1" applyAlignment="1">
      <alignment horizontal="left" wrapText="1"/>
    </xf>
    <xf numFmtId="0" fontId="12" fillId="2" borderId="16"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0" fontId="12" fillId="2" borderId="0" xfId="2" applyNumberFormat="1" applyFont="1" applyFill="1" applyBorder="1" applyAlignment="1">
      <alignment vertical="top" wrapText="1"/>
    </xf>
    <xf numFmtId="0" fontId="12" fillId="2" borderId="36" xfId="2" applyNumberFormat="1" applyFont="1" applyFill="1" applyBorder="1" applyAlignment="1">
      <alignment vertical="top" wrapText="1"/>
    </xf>
    <xf numFmtId="0" fontId="12" fillId="2" borderId="0" xfId="2" applyNumberFormat="1" applyFont="1" applyFill="1" applyBorder="1" applyAlignment="1">
      <alignment wrapText="1"/>
    </xf>
    <xf numFmtId="0" fontId="12" fillId="2" borderId="36" xfId="2" applyNumberFormat="1" applyFont="1" applyFill="1" applyBorder="1" applyAlignment="1">
      <alignmen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2152650</xdr:colOff>
      <xdr:row>30</xdr:row>
      <xdr:rowOff>133350</xdr:rowOff>
    </xdr:from>
    <xdr:to>
      <xdr:col>0</xdr:col>
      <xdr:colOff>4171950</xdr:colOff>
      <xdr:row>31</xdr:row>
      <xdr:rowOff>685800</xdr:rowOff>
    </xdr:to>
    <xdr:pic>
      <xdr:nvPicPr>
        <xdr:cNvPr id="2"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50" y="8382000"/>
          <a:ext cx="201930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61</xdr:row>
      <xdr:rowOff>47625</xdr:rowOff>
    </xdr:from>
    <xdr:to>
      <xdr:col>6</xdr:col>
      <xdr:colOff>771525</xdr:colOff>
      <xdr:row>62</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abSelected="1" topLeftCell="A4" workbookViewId="0">
      <selection activeCell="A17" sqref="A17"/>
    </sheetView>
  </sheetViews>
  <sheetFormatPr defaultRowHeight="15" x14ac:dyDescent="0.25"/>
  <cols>
    <col min="1" max="1" width="100.85546875" customWidth="1"/>
  </cols>
  <sheetData>
    <row r="1" spans="1:1" ht="18.75" x14ac:dyDescent="0.4">
      <c r="A1" s="178"/>
    </row>
    <row r="2" spans="1:1" ht="18.75" x14ac:dyDescent="0.4">
      <c r="A2" s="179"/>
    </row>
    <row r="3" spans="1:1" ht="18.75" x14ac:dyDescent="0.4">
      <c r="A3" s="179"/>
    </row>
    <row r="4" spans="1:1" ht="18.75" x14ac:dyDescent="0.4">
      <c r="A4" s="179"/>
    </row>
    <row r="5" spans="1:1" ht="18.75" x14ac:dyDescent="0.4">
      <c r="A5" s="179"/>
    </row>
    <row r="6" spans="1:1" ht="18.75" x14ac:dyDescent="0.4">
      <c r="A6" s="179"/>
    </row>
    <row r="7" spans="1:1" ht="18.75" x14ac:dyDescent="0.4">
      <c r="A7" s="179"/>
    </row>
    <row r="8" spans="1:1" ht="18.75" x14ac:dyDescent="0.4">
      <c r="A8" s="179"/>
    </row>
    <row r="9" spans="1:1" ht="33.75" x14ac:dyDescent="0.65">
      <c r="A9" s="180" t="s">
        <v>335</v>
      </c>
    </row>
    <row r="10" spans="1:1" ht="18.75" x14ac:dyDescent="0.4">
      <c r="A10" s="438" t="s">
        <v>465</v>
      </c>
    </row>
    <row r="11" spans="1:1" ht="18.75" x14ac:dyDescent="0.4">
      <c r="A11" s="179"/>
    </row>
    <row r="12" spans="1:1" ht="18.75" x14ac:dyDescent="0.4">
      <c r="A12" s="179"/>
    </row>
    <row r="13" spans="1:1" ht="18.75" x14ac:dyDescent="0.4">
      <c r="A13" s="179"/>
    </row>
    <row r="14" spans="1:1" s="41" customFormat="1" ht="72" customHeight="1" x14ac:dyDescent="0.25">
      <c r="A14" s="181" t="s">
        <v>466</v>
      </c>
    </row>
    <row r="15" spans="1:1" ht="18.75" x14ac:dyDescent="0.4">
      <c r="A15" s="179"/>
    </row>
    <row r="16" spans="1:1" ht="18.75" x14ac:dyDescent="0.4">
      <c r="A16" s="179"/>
    </row>
    <row r="17" spans="1:1" ht="18.75" x14ac:dyDescent="0.4">
      <c r="A17" s="179"/>
    </row>
    <row r="18" spans="1:1" ht="18.75" x14ac:dyDescent="0.4">
      <c r="A18" s="179"/>
    </row>
    <row r="19" spans="1:1" ht="18.75" x14ac:dyDescent="0.4">
      <c r="A19" s="179"/>
    </row>
    <row r="20" spans="1:1" ht="18.75" x14ac:dyDescent="0.4">
      <c r="A20" s="182" t="s">
        <v>332</v>
      </c>
    </row>
    <row r="21" spans="1:1" ht="18.75" x14ac:dyDescent="0.4">
      <c r="A21" s="183" t="s">
        <v>333</v>
      </c>
    </row>
    <row r="22" spans="1:1" ht="18.75" x14ac:dyDescent="0.4">
      <c r="A22" s="183" t="s">
        <v>334</v>
      </c>
    </row>
    <row r="23" spans="1:1" ht="18.75" x14ac:dyDescent="0.4">
      <c r="A23" s="179"/>
    </row>
    <row r="24" spans="1:1" ht="18.75" x14ac:dyDescent="0.4">
      <c r="A24" s="179"/>
    </row>
    <row r="25" spans="1:1" ht="18.75" x14ac:dyDescent="0.4">
      <c r="A25" s="179"/>
    </row>
    <row r="26" spans="1:1" ht="18.75" x14ac:dyDescent="0.4">
      <c r="A26" s="179"/>
    </row>
    <row r="27" spans="1:1" ht="18.75" x14ac:dyDescent="0.4">
      <c r="A27" s="179"/>
    </row>
    <row r="28" spans="1:1" ht="18.75" x14ac:dyDescent="0.4">
      <c r="A28" s="179"/>
    </row>
    <row r="29" spans="1:1" ht="18.75" x14ac:dyDescent="0.4">
      <c r="A29" s="179"/>
    </row>
    <row r="30" spans="1:1" ht="18.75" x14ac:dyDescent="0.4">
      <c r="A30" s="182" t="s">
        <v>157</v>
      </c>
    </row>
    <row r="31" spans="1:1" x14ac:dyDescent="0.25">
      <c r="A31" s="439"/>
    </row>
    <row r="32" spans="1:1" ht="56.25" customHeight="1" thickBot="1" x14ac:dyDescent="0.3">
      <c r="A32" s="440"/>
    </row>
    <row r="33" spans="1:1" ht="18.75" x14ac:dyDescent="0.4">
      <c r="A33" s="64"/>
    </row>
    <row r="34" spans="1:1" ht="18.75" x14ac:dyDescent="0.4">
      <c r="A34" s="64"/>
    </row>
    <row r="35" spans="1:1" ht="18.75" x14ac:dyDescent="0.4">
      <c r="A35" s="64"/>
    </row>
    <row r="36" spans="1:1" ht="18.75" x14ac:dyDescent="0.4">
      <c r="A36" s="64"/>
    </row>
    <row r="37" spans="1:1" ht="18.75" x14ac:dyDescent="0.4">
      <c r="A37" s="64"/>
    </row>
    <row r="38" spans="1:1" ht="18.75" x14ac:dyDescent="0.4">
      <c r="A38" s="64"/>
    </row>
    <row r="39" spans="1:1" ht="18.75" x14ac:dyDescent="0.4">
      <c r="A39" s="64"/>
    </row>
    <row r="40" spans="1:1" ht="18.75" x14ac:dyDescent="0.4">
      <c r="A40" s="65"/>
    </row>
    <row r="41" spans="1:1" ht="18.75" x14ac:dyDescent="0.4">
      <c r="A41" s="66"/>
    </row>
  </sheetData>
  <mergeCells count="1">
    <mergeCell ref="A31:A32"/>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C18" sqref="C18"/>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41" t="s">
        <v>437</v>
      </c>
      <c r="B1" s="441"/>
      <c r="C1" s="441"/>
    </row>
    <row r="2" spans="1:6" ht="15.75" x14ac:dyDescent="0.25">
      <c r="A2" s="442" t="s">
        <v>68</v>
      </c>
      <c r="B2" s="442"/>
      <c r="C2" s="442"/>
    </row>
    <row r="3" spans="1:6" ht="15.75" thickBot="1" x14ac:dyDescent="0.3">
      <c r="A3" s="1"/>
      <c r="B3" s="2"/>
      <c r="C3" s="3"/>
    </row>
    <row r="4" spans="1:6" ht="20.100000000000001" customHeight="1" thickTop="1" thickBot="1" x14ac:dyDescent="0.35">
      <c r="A4" s="4" t="s">
        <v>69</v>
      </c>
      <c r="B4" s="5" t="s">
        <v>70</v>
      </c>
      <c r="C4" s="6" t="s">
        <v>71</v>
      </c>
    </row>
    <row r="5" spans="1:6" ht="24.95" customHeight="1" thickTop="1" x14ac:dyDescent="0.25">
      <c r="A5" s="7" t="s">
        <v>72</v>
      </c>
      <c r="B5" s="8" t="s">
        <v>18</v>
      </c>
      <c r="C5" s="9">
        <f>Boq!G52</f>
        <v>0</v>
      </c>
    </row>
    <row r="6" spans="1:6" ht="24.95" customHeight="1" x14ac:dyDescent="0.25">
      <c r="A6" s="10" t="s">
        <v>73</v>
      </c>
      <c r="B6" s="11" t="s">
        <v>74</v>
      </c>
      <c r="C6" s="12">
        <f>Boq!G88</f>
        <v>0</v>
      </c>
    </row>
    <row r="7" spans="1:6" ht="24.95" customHeight="1" x14ac:dyDescent="0.25">
      <c r="A7" s="10" t="s">
        <v>75</v>
      </c>
      <c r="B7" s="11" t="s">
        <v>76</v>
      </c>
      <c r="C7" s="12">
        <f>Boq!G215</f>
        <v>0</v>
      </c>
    </row>
    <row r="8" spans="1:6" ht="24.95" customHeight="1" x14ac:dyDescent="0.25">
      <c r="A8" s="10" t="s">
        <v>77</v>
      </c>
      <c r="B8" s="11" t="s">
        <v>78</v>
      </c>
      <c r="C8" s="12">
        <f>Boq!G303</f>
        <v>0</v>
      </c>
    </row>
    <row r="9" spans="1:6" ht="24.95" customHeight="1" x14ac:dyDescent="0.25">
      <c r="A9" s="10" t="s">
        <v>79</v>
      </c>
      <c r="B9" s="11" t="s">
        <v>80</v>
      </c>
      <c r="C9" s="12">
        <f>Boq!G342</f>
        <v>0</v>
      </c>
    </row>
    <row r="10" spans="1:6" ht="24.95" customHeight="1" x14ac:dyDescent="0.25">
      <c r="A10" s="10" t="s">
        <v>81</v>
      </c>
      <c r="B10" s="11" t="s">
        <v>83</v>
      </c>
      <c r="C10" s="12">
        <f>Boq!G380</f>
        <v>0</v>
      </c>
    </row>
    <row r="11" spans="1:6" ht="24.95" customHeight="1" x14ac:dyDescent="0.25">
      <c r="A11" s="10" t="s">
        <v>82</v>
      </c>
      <c r="B11" s="11" t="s">
        <v>85</v>
      </c>
      <c r="C11" s="12">
        <f>Boq!G425</f>
        <v>0</v>
      </c>
    </row>
    <row r="12" spans="1:6" ht="24.95" customHeight="1" x14ac:dyDescent="0.25">
      <c r="A12" s="10" t="s">
        <v>84</v>
      </c>
      <c r="B12" s="11" t="s">
        <v>87</v>
      </c>
      <c r="C12" s="12">
        <f>Boq!G460</f>
        <v>0</v>
      </c>
    </row>
    <row r="13" spans="1:6" ht="24.95" customHeight="1" x14ac:dyDescent="0.25">
      <c r="A13" s="10" t="s">
        <v>86</v>
      </c>
      <c r="B13" s="11" t="s">
        <v>89</v>
      </c>
      <c r="C13" s="12">
        <f>Boq!G494</f>
        <v>0</v>
      </c>
    </row>
    <row r="14" spans="1:6" ht="24.95" customHeight="1" x14ac:dyDescent="0.25">
      <c r="A14" s="10" t="s">
        <v>88</v>
      </c>
      <c r="B14" s="11" t="s">
        <v>91</v>
      </c>
      <c r="C14" s="12">
        <f>Boq!G532</f>
        <v>0</v>
      </c>
    </row>
    <row r="15" spans="1:6" ht="24.95" customHeight="1" x14ac:dyDescent="0.25">
      <c r="A15" s="10" t="s">
        <v>90</v>
      </c>
      <c r="B15" s="11" t="s">
        <v>92</v>
      </c>
      <c r="C15" s="12">
        <f>Boq!G588</f>
        <v>0</v>
      </c>
    </row>
    <row r="16" spans="1:6" ht="24.95" customHeight="1" x14ac:dyDescent="0.25">
      <c r="A16" s="10" t="s">
        <v>303</v>
      </c>
      <c r="B16" s="11" t="s">
        <v>288</v>
      </c>
      <c r="C16" s="12">
        <f>Boq!G619</f>
        <v>0</v>
      </c>
      <c r="F16" s="49"/>
    </row>
    <row r="17" spans="1:6" ht="24.95" customHeight="1" x14ac:dyDescent="0.25">
      <c r="A17" s="10" t="s">
        <v>321</v>
      </c>
      <c r="B17" s="11" t="s">
        <v>314</v>
      </c>
      <c r="C17" s="12">
        <f>Boq!G679</f>
        <v>0</v>
      </c>
      <c r="F17" s="49">
        <f>C21/F19</f>
        <v>0</v>
      </c>
    </row>
    <row r="18" spans="1:6" ht="24.95" customHeight="1" x14ac:dyDescent="0.25">
      <c r="A18" s="10" t="s">
        <v>322</v>
      </c>
      <c r="B18" s="11" t="s">
        <v>318</v>
      </c>
      <c r="C18" s="12">
        <f>-Boq!G739</f>
        <v>0</v>
      </c>
    </row>
    <row r="19" spans="1:6" ht="24.95" customHeight="1" x14ac:dyDescent="0.25">
      <c r="A19" s="13"/>
      <c r="B19" s="14"/>
      <c r="C19" s="15"/>
      <c r="F19">
        <f>107*2*10.764</f>
        <v>2303.4959999999996</v>
      </c>
    </row>
    <row r="20" spans="1:6" ht="24.95" customHeight="1" thickBot="1" x14ac:dyDescent="0.3">
      <c r="A20" s="16"/>
      <c r="B20" s="17"/>
      <c r="C20" s="18"/>
      <c r="F20" s="49">
        <f>C21*3%</f>
        <v>0</v>
      </c>
    </row>
    <row r="21" spans="1:6" ht="24.95" customHeight="1" thickTop="1" x14ac:dyDescent="0.25">
      <c r="A21" s="58"/>
      <c r="B21" s="59" t="s">
        <v>304</v>
      </c>
      <c r="C21" s="60">
        <f>SUM(C5:C17)-C18</f>
        <v>0</v>
      </c>
      <c r="F21" s="49">
        <f>C21*0.05</f>
        <v>0</v>
      </c>
    </row>
    <row r="22" spans="1:6" ht="24.95" customHeight="1" thickBot="1" x14ac:dyDescent="0.3">
      <c r="A22" s="61"/>
      <c r="B22" s="62" t="s">
        <v>305</v>
      </c>
      <c r="C22" s="63">
        <f>C21*6%</f>
        <v>0</v>
      </c>
    </row>
    <row r="23" spans="1:6" ht="26.25" customHeight="1" thickTop="1" thickBot="1" x14ac:dyDescent="0.3">
      <c r="A23" s="19"/>
      <c r="B23" s="20" t="s">
        <v>93</v>
      </c>
      <c r="C23" s="21">
        <f>C21+C22</f>
        <v>0</v>
      </c>
    </row>
    <row r="24" spans="1:6" ht="15.75" thickTop="1" x14ac:dyDescent="0.25"/>
  </sheetData>
  <mergeCells count="2">
    <mergeCell ref="A1:C1"/>
    <mergeCell ref="A2:C2"/>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39"/>
  <sheetViews>
    <sheetView view="pageBreakPreview" topLeftCell="A727" zoomScaleNormal="100" zoomScaleSheetLayoutView="100" workbookViewId="0">
      <selection activeCell="B524" sqref="B524"/>
    </sheetView>
  </sheetViews>
  <sheetFormatPr defaultRowHeight="12" x14ac:dyDescent="0.2"/>
  <cols>
    <col min="1" max="1" width="5.7109375" style="35" customWidth="1"/>
    <col min="2" max="2" width="33.7109375" style="22" customWidth="1"/>
    <col min="3" max="3" width="4.7109375" style="23" customWidth="1"/>
    <col min="4" max="4" width="8.42578125" style="24" customWidth="1"/>
    <col min="5" max="5" width="11.85546875" style="36" customWidth="1"/>
    <col min="6" max="6" width="11.5703125" style="25" customWidth="1"/>
    <col min="7" max="7" width="12.42578125" style="25" customWidth="1"/>
    <col min="8" max="8" width="4.5703125" style="22" customWidth="1"/>
    <col min="9" max="9" width="13.5703125" style="22" customWidth="1"/>
    <col min="10" max="10" width="9.140625" style="22" customWidth="1"/>
    <col min="11" max="11" width="9" style="22" customWidth="1"/>
    <col min="12" max="12" width="9.42578125" style="22" customWidth="1"/>
    <col min="13" max="13" width="11.28515625" style="22" customWidth="1"/>
    <col min="14" max="14" width="9.28515625" style="22" customWidth="1"/>
    <col min="15" max="15" width="7.7109375" style="22" customWidth="1"/>
    <col min="16" max="16384" width="9.140625" style="22"/>
  </cols>
  <sheetData>
    <row r="1" spans="1:10" s="32" customFormat="1" ht="18.75" customHeight="1" x14ac:dyDescent="0.25">
      <c r="A1" s="445" t="s">
        <v>434</v>
      </c>
      <c r="B1" s="445"/>
      <c r="C1" s="445"/>
      <c r="D1" s="445"/>
      <c r="E1" s="445"/>
      <c r="F1" s="445"/>
      <c r="G1" s="445"/>
    </row>
    <row r="2" spans="1:10" ht="12.75" thickBot="1" x14ac:dyDescent="0.25"/>
    <row r="3" spans="1:10" s="26" customFormat="1" ht="24.75" thickBot="1" x14ac:dyDescent="0.3">
      <c r="A3" s="184" t="s">
        <v>0</v>
      </c>
      <c r="B3" s="185" t="s">
        <v>1</v>
      </c>
      <c r="C3" s="185" t="s">
        <v>2</v>
      </c>
      <c r="D3" s="186" t="s">
        <v>3</v>
      </c>
      <c r="E3" s="187" t="s">
        <v>4</v>
      </c>
      <c r="F3" s="188" t="s">
        <v>5</v>
      </c>
      <c r="G3" s="188" t="s">
        <v>6</v>
      </c>
    </row>
    <row r="4" spans="1:10" s="26" customFormat="1" x14ac:dyDescent="0.2">
      <c r="A4" s="189"/>
      <c r="B4" s="190" t="s">
        <v>17</v>
      </c>
      <c r="C4" s="191"/>
      <c r="D4" s="192"/>
      <c r="E4" s="193"/>
      <c r="F4" s="194"/>
      <c r="G4" s="195"/>
      <c r="I4" s="44"/>
      <c r="J4" s="43"/>
    </row>
    <row r="5" spans="1:10" s="26" customFormat="1" x14ac:dyDescent="0.2">
      <c r="A5" s="176"/>
      <c r="B5" s="196" t="s">
        <v>18</v>
      </c>
      <c r="C5" s="197"/>
      <c r="D5" s="198"/>
      <c r="E5" s="85"/>
      <c r="F5" s="199"/>
      <c r="G5" s="200"/>
    </row>
    <row r="6" spans="1:10" s="26" customFormat="1" x14ac:dyDescent="0.2">
      <c r="A6" s="176"/>
      <c r="B6" s="201"/>
      <c r="C6" s="197"/>
      <c r="D6" s="198"/>
      <c r="E6" s="85"/>
      <c r="F6" s="199"/>
      <c r="G6" s="200"/>
    </row>
    <row r="7" spans="1:10" s="26" customFormat="1" x14ac:dyDescent="0.2">
      <c r="A7" s="176">
        <v>1.1000000000000001</v>
      </c>
      <c r="B7" s="202" t="s">
        <v>19</v>
      </c>
      <c r="C7" s="197"/>
      <c r="D7" s="198"/>
      <c r="E7" s="85"/>
      <c r="F7" s="199"/>
      <c r="G7" s="200"/>
    </row>
    <row r="8" spans="1:10" s="26" customFormat="1" x14ac:dyDescent="0.2">
      <c r="A8" s="203" t="s">
        <v>7</v>
      </c>
      <c r="B8" s="204" t="s">
        <v>20</v>
      </c>
      <c r="C8" s="197"/>
      <c r="D8" s="198"/>
      <c r="E8" s="85"/>
      <c r="F8" s="199"/>
      <c r="G8" s="200"/>
    </row>
    <row r="9" spans="1:10" s="26" customFormat="1" x14ac:dyDescent="0.2">
      <c r="A9" s="176"/>
      <c r="B9" s="205" t="s">
        <v>21</v>
      </c>
      <c r="C9" s="197"/>
      <c r="D9" s="198"/>
      <c r="E9" s="85"/>
      <c r="F9" s="199"/>
      <c r="G9" s="200"/>
    </row>
    <row r="10" spans="1:10" s="26" customFormat="1" x14ac:dyDescent="0.2">
      <c r="A10" s="176"/>
      <c r="B10" s="205" t="s">
        <v>22</v>
      </c>
      <c r="C10" s="197"/>
      <c r="D10" s="198"/>
      <c r="E10" s="85"/>
      <c r="F10" s="199"/>
      <c r="G10" s="200"/>
    </row>
    <row r="11" spans="1:10" s="26" customFormat="1" x14ac:dyDescent="0.2">
      <c r="A11" s="176"/>
      <c r="B11" s="205" t="s">
        <v>23</v>
      </c>
      <c r="C11" s="197"/>
      <c r="D11" s="198"/>
      <c r="E11" s="85"/>
      <c r="F11" s="199"/>
      <c r="G11" s="200"/>
    </row>
    <row r="12" spans="1:10" s="26" customFormat="1" x14ac:dyDescent="0.2">
      <c r="A12" s="176"/>
      <c r="B12" s="205" t="s">
        <v>24</v>
      </c>
      <c r="C12" s="197"/>
      <c r="D12" s="198"/>
      <c r="E12" s="85"/>
      <c r="F12" s="199"/>
      <c r="G12" s="200"/>
    </row>
    <row r="13" spans="1:10" s="26" customFormat="1" x14ac:dyDescent="0.2">
      <c r="A13" s="176"/>
      <c r="B13" s="205" t="s">
        <v>21</v>
      </c>
      <c r="C13" s="197"/>
      <c r="D13" s="198"/>
      <c r="E13" s="85"/>
      <c r="F13" s="199"/>
      <c r="G13" s="200"/>
    </row>
    <row r="14" spans="1:10" s="26" customFormat="1" x14ac:dyDescent="0.2">
      <c r="A14" s="176"/>
      <c r="B14" s="205" t="s">
        <v>25</v>
      </c>
      <c r="C14" s="197"/>
      <c r="D14" s="198"/>
      <c r="E14" s="85"/>
      <c r="F14" s="199"/>
      <c r="G14" s="200"/>
    </row>
    <row r="15" spans="1:10" s="26" customFormat="1" x14ac:dyDescent="0.2">
      <c r="A15" s="176"/>
      <c r="B15" s="205" t="s">
        <v>26</v>
      </c>
      <c r="C15" s="197"/>
      <c r="D15" s="198"/>
      <c r="E15" s="85"/>
      <c r="F15" s="199"/>
      <c r="G15" s="200"/>
    </row>
    <row r="16" spans="1:10" s="26" customFormat="1" x14ac:dyDescent="0.2">
      <c r="A16" s="176"/>
      <c r="B16" s="205" t="s">
        <v>27</v>
      </c>
      <c r="C16" s="197"/>
      <c r="D16" s="198"/>
      <c r="E16" s="85"/>
      <c r="F16" s="199"/>
      <c r="G16" s="200"/>
    </row>
    <row r="17" spans="1:7" s="26" customFormat="1" x14ac:dyDescent="0.2">
      <c r="A17" s="176"/>
      <c r="B17" s="205" t="s">
        <v>28</v>
      </c>
      <c r="C17" s="197"/>
      <c r="D17" s="198"/>
      <c r="E17" s="85"/>
      <c r="F17" s="199"/>
      <c r="G17" s="200"/>
    </row>
    <row r="18" spans="1:7" s="26" customFormat="1" x14ac:dyDescent="0.2">
      <c r="A18" s="176"/>
      <c r="B18" s="205" t="s">
        <v>29</v>
      </c>
      <c r="C18" s="197"/>
      <c r="D18" s="198"/>
      <c r="E18" s="85"/>
      <c r="F18" s="199"/>
      <c r="G18" s="200"/>
    </row>
    <row r="19" spans="1:7" s="26" customFormat="1" x14ac:dyDescent="0.2">
      <c r="A19" s="176"/>
      <c r="B19" s="205" t="s">
        <v>30</v>
      </c>
      <c r="C19" s="197"/>
      <c r="D19" s="198"/>
      <c r="E19" s="85"/>
      <c r="F19" s="199"/>
      <c r="G19" s="200"/>
    </row>
    <row r="20" spans="1:7" s="26" customFormat="1" x14ac:dyDescent="0.2">
      <c r="A20" s="176"/>
      <c r="B20" s="205"/>
      <c r="C20" s="197"/>
      <c r="D20" s="198"/>
      <c r="E20" s="85"/>
      <c r="F20" s="199"/>
      <c r="G20" s="200"/>
    </row>
    <row r="21" spans="1:7" s="26" customFormat="1" x14ac:dyDescent="0.2">
      <c r="A21" s="203">
        <v>1.2</v>
      </c>
      <c r="B21" s="206" t="s">
        <v>277</v>
      </c>
      <c r="C21" s="207"/>
      <c r="D21" s="103"/>
      <c r="E21" s="85"/>
      <c r="F21" s="199"/>
      <c r="G21" s="200"/>
    </row>
    <row r="22" spans="1:7" s="26" customFormat="1" ht="60.75" customHeight="1" x14ac:dyDescent="0.2">
      <c r="A22" s="176" t="s">
        <v>7</v>
      </c>
      <c r="B22" s="208" t="s">
        <v>201</v>
      </c>
      <c r="C22" s="207" t="s">
        <v>0</v>
      </c>
      <c r="D22" s="103">
        <v>1</v>
      </c>
      <c r="E22" s="85"/>
      <c r="F22" s="79"/>
      <c r="G22" s="80">
        <f t="shared" ref="G22:G32" si="0">(D22*E22)+(D22*F22)</f>
        <v>0</v>
      </c>
    </row>
    <row r="23" spans="1:7" s="26" customFormat="1" x14ac:dyDescent="0.2">
      <c r="A23" s="203"/>
      <c r="B23" s="208"/>
      <c r="C23" s="207"/>
      <c r="D23" s="103"/>
      <c r="E23" s="85"/>
      <c r="F23" s="79"/>
      <c r="G23" s="80">
        <f t="shared" si="0"/>
        <v>0</v>
      </c>
    </row>
    <row r="24" spans="1:7" s="26" customFormat="1" x14ac:dyDescent="0.2">
      <c r="A24" s="176">
        <v>1.3</v>
      </c>
      <c r="B24" s="206" t="s">
        <v>278</v>
      </c>
      <c r="C24" s="207"/>
      <c r="D24" s="103"/>
      <c r="E24" s="85"/>
      <c r="F24" s="79"/>
      <c r="G24" s="80">
        <f t="shared" si="0"/>
        <v>0</v>
      </c>
    </row>
    <row r="25" spans="1:7" s="26" customFormat="1" x14ac:dyDescent="0.2">
      <c r="A25" s="176" t="s">
        <v>7</v>
      </c>
      <c r="B25" s="209" t="s">
        <v>31</v>
      </c>
      <c r="C25" s="207" t="s">
        <v>32</v>
      </c>
      <c r="D25" s="103">
        <v>1</v>
      </c>
      <c r="E25" s="85"/>
      <c r="F25" s="79"/>
      <c r="G25" s="80">
        <f t="shared" si="0"/>
        <v>0</v>
      </c>
    </row>
    <row r="26" spans="1:7" s="26" customFormat="1" x14ac:dyDescent="0.2">
      <c r="A26" s="176"/>
      <c r="B26" s="209"/>
      <c r="C26" s="207"/>
      <c r="D26" s="103"/>
      <c r="E26" s="85"/>
      <c r="F26" s="79"/>
      <c r="G26" s="80">
        <f t="shared" si="0"/>
        <v>0</v>
      </c>
    </row>
    <row r="27" spans="1:7" s="26" customFormat="1" x14ac:dyDescent="0.2">
      <c r="A27" s="176" t="s">
        <v>153</v>
      </c>
      <c r="B27" s="206" t="s">
        <v>279</v>
      </c>
      <c r="C27" s="207"/>
      <c r="D27" s="103"/>
      <c r="E27" s="85"/>
      <c r="F27" s="79"/>
      <c r="G27" s="80">
        <f t="shared" si="0"/>
        <v>0</v>
      </c>
    </row>
    <row r="28" spans="1:7" s="26" customFormat="1" ht="39.75" customHeight="1" x14ac:dyDescent="0.2">
      <c r="A28" s="176" t="s">
        <v>7</v>
      </c>
      <c r="B28" s="138" t="s">
        <v>280</v>
      </c>
      <c r="C28" s="207" t="s">
        <v>0</v>
      </c>
      <c r="D28" s="103">
        <v>1</v>
      </c>
      <c r="E28" s="85"/>
      <c r="F28" s="79"/>
      <c r="G28" s="80">
        <f t="shared" si="0"/>
        <v>0</v>
      </c>
    </row>
    <row r="29" spans="1:7" s="26" customFormat="1" x14ac:dyDescent="0.2">
      <c r="A29" s="176"/>
      <c r="B29" s="209"/>
      <c r="C29" s="207"/>
      <c r="D29" s="103"/>
      <c r="E29" s="85"/>
      <c r="F29" s="79"/>
      <c r="G29" s="80"/>
    </row>
    <row r="30" spans="1:7" s="26" customFormat="1" x14ac:dyDescent="0.2">
      <c r="A30" s="100" t="s">
        <v>163</v>
      </c>
      <c r="B30" s="210" t="s">
        <v>33</v>
      </c>
      <c r="C30" s="211"/>
      <c r="D30" s="212"/>
      <c r="E30" s="85"/>
      <c r="F30" s="79"/>
      <c r="G30" s="80">
        <f t="shared" si="0"/>
        <v>0</v>
      </c>
    </row>
    <row r="31" spans="1:7" s="26" customFormat="1" ht="27.75" customHeight="1" x14ac:dyDescent="0.2">
      <c r="A31" s="176" t="s">
        <v>7</v>
      </c>
      <c r="B31" s="213" t="s">
        <v>34</v>
      </c>
      <c r="C31" s="207" t="s">
        <v>0</v>
      </c>
      <c r="D31" s="103">
        <v>1</v>
      </c>
      <c r="E31" s="85"/>
      <c r="F31" s="79"/>
      <c r="G31" s="80">
        <f t="shared" si="0"/>
        <v>0</v>
      </c>
    </row>
    <row r="32" spans="1:7" s="26" customFormat="1" x14ac:dyDescent="0.2">
      <c r="A32" s="203"/>
      <c r="B32" s="213"/>
      <c r="C32" s="207"/>
      <c r="D32" s="103"/>
      <c r="E32" s="85"/>
      <c r="F32" s="199"/>
      <c r="G32" s="80">
        <f t="shared" si="0"/>
        <v>0</v>
      </c>
    </row>
    <row r="33" spans="1:7" s="26" customFormat="1" x14ac:dyDescent="0.2">
      <c r="A33" s="203"/>
      <c r="B33" s="213"/>
      <c r="C33" s="207"/>
      <c r="D33" s="103"/>
      <c r="E33" s="85"/>
      <c r="F33" s="199"/>
      <c r="G33" s="200"/>
    </row>
    <row r="34" spans="1:7" s="26" customFormat="1" x14ac:dyDescent="0.2">
      <c r="A34" s="203"/>
      <c r="B34" s="213"/>
      <c r="C34" s="207"/>
      <c r="D34" s="103"/>
      <c r="E34" s="85"/>
      <c r="F34" s="199"/>
      <c r="G34" s="200"/>
    </row>
    <row r="35" spans="1:7" s="26" customFormat="1" x14ac:dyDescent="0.2">
      <c r="A35" s="203"/>
      <c r="B35" s="213"/>
      <c r="C35" s="207"/>
      <c r="D35" s="103"/>
      <c r="E35" s="85"/>
      <c r="F35" s="199"/>
      <c r="G35" s="200"/>
    </row>
    <row r="36" spans="1:7" s="26" customFormat="1" x14ac:dyDescent="0.2">
      <c r="A36" s="203"/>
      <c r="B36" s="213"/>
      <c r="C36" s="207"/>
      <c r="D36" s="103"/>
      <c r="E36" s="85"/>
      <c r="F36" s="199"/>
      <c r="G36" s="200"/>
    </row>
    <row r="37" spans="1:7" s="26" customFormat="1" x14ac:dyDescent="0.2">
      <c r="A37" s="203"/>
      <c r="B37" s="213"/>
      <c r="C37" s="207"/>
      <c r="D37" s="103"/>
      <c r="E37" s="85"/>
      <c r="F37" s="199"/>
      <c r="G37" s="200"/>
    </row>
    <row r="38" spans="1:7" s="26" customFormat="1" x14ac:dyDescent="0.2">
      <c r="A38" s="203"/>
      <c r="B38" s="213"/>
      <c r="C38" s="207"/>
      <c r="D38" s="103"/>
      <c r="E38" s="85"/>
      <c r="F38" s="199"/>
      <c r="G38" s="200"/>
    </row>
    <row r="39" spans="1:7" s="26" customFormat="1" x14ac:dyDescent="0.2">
      <c r="A39" s="203"/>
      <c r="B39" s="213"/>
      <c r="C39" s="207"/>
      <c r="D39" s="103"/>
      <c r="E39" s="85"/>
      <c r="F39" s="199"/>
      <c r="G39" s="200"/>
    </row>
    <row r="40" spans="1:7" s="26" customFormat="1" x14ac:dyDescent="0.2">
      <c r="A40" s="203"/>
      <c r="B40" s="213"/>
      <c r="C40" s="207"/>
      <c r="D40" s="103"/>
      <c r="E40" s="85"/>
      <c r="F40" s="199"/>
      <c r="G40" s="200"/>
    </row>
    <row r="41" spans="1:7" s="26" customFormat="1" x14ac:dyDescent="0.2">
      <c r="A41" s="203"/>
      <c r="B41" s="213"/>
      <c r="C41" s="207"/>
      <c r="D41" s="103"/>
      <c r="E41" s="85"/>
      <c r="F41" s="199"/>
      <c r="G41" s="200"/>
    </row>
    <row r="42" spans="1:7" s="26" customFormat="1" x14ac:dyDescent="0.2">
      <c r="A42" s="203"/>
      <c r="B42" s="213"/>
      <c r="C42" s="207"/>
      <c r="D42" s="103"/>
      <c r="E42" s="85"/>
      <c r="F42" s="199"/>
      <c r="G42" s="200"/>
    </row>
    <row r="43" spans="1:7" s="26" customFormat="1" x14ac:dyDescent="0.2">
      <c r="A43" s="203"/>
      <c r="B43" s="213"/>
      <c r="C43" s="207"/>
      <c r="D43" s="103"/>
      <c r="E43" s="85"/>
      <c r="F43" s="199"/>
      <c r="G43" s="200"/>
    </row>
    <row r="44" spans="1:7" s="26" customFormat="1" x14ac:dyDescent="0.2">
      <c r="A44" s="203"/>
      <c r="B44" s="213"/>
      <c r="C44" s="207"/>
      <c r="D44" s="103"/>
      <c r="E44" s="85"/>
      <c r="F44" s="199"/>
      <c r="G44" s="200"/>
    </row>
    <row r="45" spans="1:7" s="26" customFormat="1" x14ac:dyDescent="0.2">
      <c r="A45" s="203"/>
      <c r="B45" s="213"/>
      <c r="C45" s="207"/>
      <c r="D45" s="103"/>
      <c r="E45" s="85"/>
      <c r="F45" s="199"/>
      <c r="G45" s="200"/>
    </row>
    <row r="46" spans="1:7" s="26" customFormat="1" x14ac:dyDescent="0.2">
      <c r="A46" s="203"/>
      <c r="B46" s="213"/>
      <c r="C46" s="207"/>
      <c r="D46" s="103"/>
      <c r="E46" s="85"/>
      <c r="F46" s="199"/>
      <c r="G46" s="200"/>
    </row>
    <row r="47" spans="1:7" s="26" customFormat="1" x14ac:dyDescent="0.2">
      <c r="A47" s="203"/>
      <c r="B47" s="213"/>
      <c r="C47" s="207"/>
      <c r="D47" s="103"/>
      <c r="E47" s="85"/>
      <c r="F47" s="199"/>
      <c r="G47" s="200"/>
    </row>
    <row r="48" spans="1:7" s="26" customFormat="1" x14ac:dyDescent="0.2">
      <c r="A48" s="203"/>
      <c r="B48" s="213"/>
      <c r="C48" s="207"/>
      <c r="D48" s="103"/>
      <c r="E48" s="85"/>
      <c r="F48" s="199"/>
      <c r="G48" s="200"/>
    </row>
    <row r="49" spans="1:9" s="26" customFormat="1" x14ac:dyDescent="0.2">
      <c r="A49" s="203"/>
      <c r="B49" s="213"/>
      <c r="C49" s="207"/>
      <c r="D49" s="103"/>
      <c r="E49" s="85"/>
      <c r="F49" s="199"/>
      <c r="G49" s="200"/>
    </row>
    <row r="50" spans="1:9" s="26" customFormat="1" ht="12.75" thickBot="1" x14ac:dyDescent="0.25">
      <c r="A50" s="203"/>
      <c r="B50" s="213"/>
      <c r="C50" s="207"/>
      <c r="D50" s="103"/>
      <c r="E50" s="85"/>
      <c r="F50" s="199"/>
      <c r="G50" s="200"/>
    </row>
    <row r="51" spans="1:9" s="26" customFormat="1" x14ac:dyDescent="0.2">
      <c r="A51" s="189"/>
      <c r="B51" s="357" t="s">
        <v>35</v>
      </c>
      <c r="C51" s="358"/>
      <c r="D51" s="359"/>
      <c r="E51" s="193"/>
      <c r="F51" s="194"/>
      <c r="G51" s="195"/>
    </row>
    <row r="52" spans="1:9" s="26" customFormat="1" ht="12.75" thickBot="1" x14ac:dyDescent="0.25">
      <c r="A52" s="360"/>
      <c r="B52" s="352" t="s">
        <v>36</v>
      </c>
      <c r="C52" s="361"/>
      <c r="D52" s="362"/>
      <c r="E52" s="363"/>
      <c r="F52" s="364"/>
      <c r="G52" s="365">
        <f>SUM(G22:G51)</f>
        <v>0</v>
      </c>
    </row>
    <row r="53" spans="1:9" s="26" customFormat="1" x14ac:dyDescent="0.2">
      <c r="A53" s="176"/>
      <c r="B53" s="214"/>
      <c r="C53" s="152"/>
      <c r="D53" s="103"/>
      <c r="E53" s="85"/>
      <c r="F53" s="199"/>
      <c r="G53" s="200"/>
    </row>
    <row r="54" spans="1:9" s="26" customFormat="1" x14ac:dyDescent="0.2">
      <c r="A54" s="176"/>
      <c r="B54" s="196" t="s">
        <v>37</v>
      </c>
      <c r="C54" s="197"/>
      <c r="D54" s="198"/>
      <c r="E54" s="85"/>
      <c r="F54" s="199"/>
      <c r="G54" s="200"/>
    </row>
    <row r="55" spans="1:9" s="26" customFormat="1" x14ac:dyDescent="0.2">
      <c r="A55" s="176"/>
      <c r="B55" s="196" t="s">
        <v>38</v>
      </c>
      <c r="C55" s="197"/>
      <c r="D55" s="198"/>
      <c r="E55" s="85"/>
      <c r="F55" s="199"/>
      <c r="G55" s="200"/>
    </row>
    <row r="56" spans="1:9" s="26" customFormat="1" x14ac:dyDescent="0.2">
      <c r="A56" s="176">
        <v>2.1</v>
      </c>
      <c r="B56" s="202" t="s">
        <v>39</v>
      </c>
      <c r="C56" s="197"/>
      <c r="D56" s="198"/>
      <c r="E56" s="85"/>
      <c r="F56" s="199"/>
      <c r="G56" s="200"/>
    </row>
    <row r="57" spans="1:9" s="26" customFormat="1" ht="65.25" customHeight="1" x14ac:dyDescent="0.2">
      <c r="A57" s="176"/>
      <c r="B57" s="215" t="s">
        <v>202</v>
      </c>
      <c r="C57" s="216"/>
      <c r="D57" s="216"/>
      <c r="E57" s="216"/>
      <c r="F57" s="216"/>
      <c r="G57" s="217"/>
    </row>
    <row r="58" spans="1:9" s="26" customFormat="1" x14ac:dyDescent="0.25">
      <c r="A58" s="218"/>
      <c r="B58" s="219"/>
      <c r="C58" s="219"/>
      <c r="D58" s="220"/>
      <c r="E58" s="221"/>
      <c r="F58" s="219"/>
      <c r="G58" s="222"/>
    </row>
    <row r="59" spans="1:9" s="26" customFormat="1" x14ac:dyDescent="0.2">
      <c r="A59" s="176" t="s">
        <v>10</v>
      </c>
      <c r="B59" s="223" t="s">
        <v>56</v>
      </c>
      <c r="C59" s="207"/>
      <c r="D59" s="77"/>
      <c r="E59" s="78"/>
      <c r="F59" s="79"/>
      <c r="G59" s="80">
        <f t="shared" ref="G59:G69" si="1">(D59*E59)+(D59*F59)</f>
        <v>0</v>
      </c>
    </row>
    <row r="60" spans="1:9" s="26" customFormat="1" ht="48.75" customHeight="1" x14ac:dyDescent="0.2">
      <c r="A60" s="176"/>
      <c r="B60" s="208" t="s">
        <v>57</v>
      </c>
      <c r="C60" s="207" t="s">
        <v>42</v>
      </c>
      <c r="D60" s="224">
        <v>319.92</v>
      </c>
      <c r="E60" s="85"/>
      <c r="F60" s="79"/>
      <c r="G60" s="80">
        <f t="shared" si="1"/>
        <v>0</v>
      </c>
      <c r="I60" s="26">
        <f>12.9*24.8</f>
        <v>319.92</v>
      </c>
    </row>
    <row r="61" spans="1:9" s="26" customFormat="1" x14ac:dyDescent="0.2">
      <c r="A61" s="176"/>
      <c r="B61" s="208"/>
      <c r="C61" s="207"/>
      <c r="D61" s="224"/>
      <c r="E61" s="85"/>
      <c r="F61" s="79"/>
      <c r="G61" s="80">
        <f t="shared" si="1"/>
        <v>0</v>
      </c>
    </row>
    <row r="62" spans="1:9" s="26" customFormat="1" x14ac:dyDescent="0.2">
      <c r="A62" s="176" t="s">
        <v>16</v>
      </c>
      <c r="B62" s="225" t="s">
        <v>40</v>
      </c>
      <c r="C62" s="207"/>
      <c r="D62" s="226"/>
      <c r="E62" s="85"/>
      <c r="F62" s="79"/>
      <c r="G62" s="80">
        <f t="shared" si="1"/>
        <v>0</v>
      </c>
    </row>
    <row r="63" spans="1:9" s="26" customFormat="1" ht="51" customHeight="1" x14ac:dyDescent="0.2">
      <c r="A63" s="176"/>
      <c r="B63" s="227" t="s">
        <v>41</v>
      </c>
      <c r="C63" s="207" t="s">
        <v>42</v>
      </c>
      <c r="D63" s="226"/>
      <c r="E63" s="85"/>
      <c r="F63" s="79"/>
      <c r="G63" s="80">
        <f t="shared" si="1"/>
        <v>0</v>
      </c>
      <c r="I63" s="26">
        <f>16.336*8.75</f>
        <v>142.94</v>
      </c>
    </row>
    <row r="64" spans="1:9" s="26" customFormat="1" x14ac:dyDescent="0.2">
      <c r="A64" s="176"/>
      <c r="B64" s="228"/>
      <c r="C64" s="207"/>
      <c r="D64" s="103"/>
      <c r="E64" s="85"/>
      <c r="F64" s="79"/>
      <c r="G64" s="80">
        <f t="shared" si="1"/>
        <v>0</v>
      </c>
    </row>
    <row r="65" spans="1:15" s="26" customFormat="1" x14ac:dyDescent="0.2">
      <c r="A65" s="176" t="s">
        <v>45</v>
      </c>
      <c r="B65" s="229" t="s">
        <v>43</v>
      </c>
      <c r="C65" s="207"/>
      <c r="D65" s="103"/>
      <c r="E65" s="85"/>
      <c r="F65" s="79"/>
      <c r="G65" s="80">
        <f t="shared" si="1"/>
        <v>0</v>
      </c>
    </row>
    <row r="66" spans="1:15" s="26" customFormat="1" ht="66.75" customHeight="1" x14ac:dyDescent="0.2">
      <c r="A66" s="218"/>
      <c r="B66" s="230" t="s">
        <v>343</v>
      </c>
      <c r="C66" s="230"/>
      <c r="D66" s="230"/>
      <c r="E66" s="230"/>
      <c r="F66" s="79"/>
      <c r="G66" s="80">
        <f t="shared" si="1"/>
        <v>0</v>
      </c>
    </row>
    <row r="67" spans="1:15" s="26" customFormat="1" ht="12.75" customHeight="1" x14ac:dyDescent="0.25">
      <c r="A67" s="176" t="s">
        <v>46</v>
      </c>
      <c r="B67" s="231" t="s">
        <v>344</v>
      </c>
      <c r="C67" s="207"/>
      <c r="D67" s="103"/>
      <c r="E67" s="85"/>
      <c r="F67" s="79"/>
      <c r="G67" s="80">
        <f t="shared" si="1"/>
        <v>0</v>
      </c>
      <c r="J67" s="50"/>
      <c r="K67" s="23"/>
      <c r="L67" s="23"/>
      <c r="M67" s="23"/>
    </row>
    <row r="68" spans="1:15" s="23" customFormat="1" ht="15" x14ac:dyDescent="0.25">
      <c r="A68" s="232" t="s">
        <v>7</v>
      </c>
      <c r="B68" s="233" t="s">
        <v>193</v>
      </c>
      <c r="C68" s="207" t="s">
        <v>44</v>
      </c>
      <c r="D68" s="103">
        <v>55.53</v>
      </c>
      <c r="E68" s="85"/>
      <c r="F68" s="104"/>
      <c r="G68" s="105">
        <f t="shared" si="1"/>
        <v>0</v>
      </c>
      <c r="I68" s="23">
        <f>1*18</f>
        <v>18</v>
      </c>
      <c r="J68" s="50">
        <f>1.15*1.15*3</f>
        <v>3.9674999999999994</v>
      </c>
      <c r="K68" s="23">
        <f>3.55*4+2.5*14+3.475*6</f>
        <v>70.050000000000011</v>
      </c>
      <c r="L68" s="23">
        <f>K68*0.5</f>
        <v>35.025000000000006</v>
      </c>
      <c r="M68" s="23">
        <f>23+1.5*5</f>
        <v>30.5</v>
      </c>
      <c r="N68" s="23">
        <f>M68*0.6</f>
        <v>18.3</v>
      </c>
      <c r="O68" s="23">
        <f>L68+N68</f>
        <v>53.325000000000003</v>
      </c>
    </row>
    <row r="69" spans="1:15" s="26" customFormat="1" x14ac:dyDescent="0.2">
      <c r="A69" s="176"/>
      <c r="B69" s="234"/>
      <c r="C69" s="207"/>
      <c r="D69" s="103"/>
      <c r="E69" s="85"/>
      <c r="F69" s="199"/>
      <c r="G69" s="80">
        <f t="shared" si="1"/>
        <v>0</v>
      </c>
      <c r="I69" s="26">
        <f>I68+J68</f>
        <v>21.967500000000001</v>
      </c>
      <c r="J69" s="26">
        <f>I69*0.95</f>
        <v>20.869125</v>
      </c>
      <c r="K69" s="26">
        <f>O68*0.65</f>
        <v>34.661250000000003</v>
      </c>
      <c r="L69" s="26">
        <f>K69+J69</f>
        <v>55.530375000000006</v>
      </c>
    </row>
    <row r="70" spans="1:15" s="26" customFormat="1" x14ac:dyDescent="0.2">
      <c r="A70" s="176" t="s">
        <v>346</v>
      </c>
      <c r="B70" s="235" t="s">
        <v>345</v>
      </c>
      <c r="C70" s="207"/>
      <c r="D70" s="103"/>
      <c r="E70" s="85"/>
      <c r="F70" s="199"/>
      <c r="G70" s="200"/>
    </row>
    <row r="71" spans="1:15" s="26" customFormat="1" ht="25.5" customHeight="1" x14ac:dyDescent="0.25">
      <c r="A71" s="176"/>
      <c r="B71" s="236" t="s">
        <v>220</v>
      </c>
      <c r="C71" s="237"/>
      <c r="D71" s="237"/>
      <c r="E71" s="237"/>
      <c r="F71" s="199"/>
      <c r="G71" s="200"/>
    </row>
    <row r="72" spans="1:15" s="26" customFormat="1" ht="25.5" customHeight="1" x14ac:dyDescent="0.25">
      <c r="A72" s="176"/>
      <c r="B72" s="213" t="s">
        <v>221</v>
      </c>
      <c r="C72" s="238"/>
      <c r="D72" s="238"/>
      <c r="E72" s="238"/>
      <c r="F72" s="199"/>
      <c r="G72" s="200"/>
    </row>
    <row r="73" spans="1:15" s="26" customFormat="1" ht="24" x14ac:dyDescent="0.2">
      <c r="A73" s="176" t="s">
        <v>155</v>
      </c>
      <c r="B73" s="239" t="s">
        <v>342</v>
      </c>
      <c r="C73" s="207" t="s">
        <v>42</v>
      </c>
      <c r="D73" s="224">
        <v>250.3</v>
      </c>
      <c r="E73" s="85"/>
      <c r="F73" s="79"/>
      <c r="G73" s="80">
        <f t="shared" ref="G73:G79" si="2">(D73*E73)+(D73*F73)</f>
        <v>0</v>
      </c>
      <c r="I73" s="26">
        <f>13*10.7</f>
        <v>139.1</v>
      </c>
    </row>
    <row r="74" spans="1:15" s="26" customFormat="1" ht="38.25" customHeight="1" x14ac:dyDescent="0.2">
      <c r="A74" s="176" t="s">
        <v>156</v>
      </c>
      <c r="B74" s="239" t="s">
        <v>182</v>
      </c>
      <c r="C74" s="207" t="s">
        <v>42</v>
      </c>
      <c r="D74" s="224">
        <f>D73</f>
        <v>250.3</v>
      </c>
      <c r="E74" s="85"/>
      <c r="F74" s="79"/>
      <c r="G74" s="80">
        <f t="shared" si="2"/>
        <v>0</v>
      </c>
    </row>
    <row r="75" spans="1:15" s="26" customFormat="1" x14ac:dyDescent="0.2">
      <c r="A75" s="176">
        <v>2.5</v>
      </c>
      <c r="B75" s="229" t="s">
        <v>47</v>
      </c>
      <c r="C75" s="207"/>
      <c r="D75" s="103"/>
      <c r="E75" s="85"/>
      <c r="F75" s="79"/>
      <c r="G75" s="80">
        <f t="shared" si="2"/>
        <v>0</v>
      </c>
    </row>
    <row r="76" spans="1:15" s="26" customFormat="1" ht="27" customHeight="1" x14ac:dyDescent="0.2">
      <c r="A76" s="176"/>
      <c r="B76" s="240" t="s">
        <v>48</v>
      </c>
      <c r="C76" s="207"/>
      <c r="D76" s="103"/>
      <c r="E76" s="85"/>
      <c r="F76" s="79"/>
      <c r="G76" s="80">
        <f t="shared" si="2"/>
        <v>0</v>
      </c>
    </row>
    <row r="77" spans="1:15" s="26" customFormat="1" ht="24" x14ac:dyDescent="0.2">
      <c r="A77" s="176" t="s">
        <v>155</v>
      </c>
      <c r="B77" s="240" t="s">
        <v>49</v>
      </c>
      <c r="C77" s="207" t="s">
        <v>42</v>
      </c>
      <c r="D77" s="103">
        <f>D73+D96+D120+D121+D122+D123</f>
        <v>408.34000000000003</v>
      </c>
      <c r="E77" s="85"/>
      <c r="F77" s="79"/>
      <c r="G77" s="80">
        <f t="shared" si="2"/>
        <v>0</v>
      </c>
      <c r="I77" s="28"/>
      <c r="J77" s="28"/>
    </row>
    <row r="78" spans="1:15" s="26" customFormat="1" x14ac:dyDescent="0.2">
      <c r="A78" s="176"/>
      <c r="B78" s="239"/>
      <c r="C78" s="207"/>
      <c r="D78" s="103"/>
      <c r="E78" s="85"/>
      <c r="F78" s="79"/>
      <c r="G78" s="80"/>
    </row>
    <row r="79" spans="1:15" s="26" customFormat="1" x14ac:dyDescent="0.2">
      <c r="A79" s="176"/>
      <c r="B79" s="240"/>
      <c r="C79" s="207"/>
      <c r="D79" s="103"/>
      <c r="E79" s="85"/>
      <c r="F79" s="199"/>
      <c r="G79" s="80">
        <f t="shared" si="2"/>
        <v>0</v>
      </c>
      <c r="I79" s="28"/>
    </row>
    <row r="80" spans="1:15" s="26" customFormat="1" x14ac:dyDescent="0.2">
      <c r="A80" s="176"/>
      <c r="B80" s="240"/>
      <c r="C80" s="207"/>
      <c r="D80" s="103"/>
      <c r="E80" s="85"/>
      <c r="F80" s="199"/>
      <c r="G80" s="200"/>
    </row>
    <row r="81" spans="1:16" s="26" customFormat="1" x14ac:dyDescent="0.2">
      <c r="A81" s="176"/>
      <c r="B81" s="240"/>
      <c r="C81" s="207"/>
      <c r="D81" s="103"/>
      <c r="E81" s="85"/>
      <c r="F81" s="199"/>
      <c r="G81" s="200"/>
    </row>
    <row r="82" spans="1:16" s="26" customFormat="1" x14ac:dyDescent="0.2">
      <c r="A82" s="176"/>
      <c r="B82" s="240"/>
      <c r="C82" s="207"/>
      <c r="D82" s="103"/>
      <c r="E82" s="85"/>
      <c r="F82" s="199"/>
      <c r="G82" s="200"/>
    </row>
    <row r="83" spans="1:16" s="26" customFormat="1" x14ac:dyDescent="0.2">
      <c r="A83" s="176"/>
      <c r="B83" s="240"/>
      <c r="C83" s="207"/>
      <c r="D83" s="103"/>
      <c r="E83" s="85"/>
      <c r="F83" s="199"/>
      <c r="G83" s="200"/>
    </row>
    <row r="84" spans="1:16" s="26" customFormat="1" x14ac:dyDescent="0.2">
      <c r="A84" s="176"/>
      <c r="B84" s="240"/>
      <c r="C84" s="207"/>
      <c r="D84" s="103"/>
      <c r="E84" s="85"/>
      <c r="F84" s="199"/>
      <c r="G84" s="200"/>
    </row>
    <row r="85" spans="1:16" s="26" customFormat="1" x14ac:dyDescent="0.2">
      <c r="A85" s="176"/>
      <c r="B85" s="240"/>
      <c r="C85" s="207"/>
      <c r="D85" s="103"/>
      <c r="E85" s="85"/>
      <c r="F85" s="199"/>
      <c r="G85" s="200"/>
    </row>
    <row r="86" spans="1:16" s="26" customFormat="1" ht="12.75" thickBot="1" x14ac:dyDescent="0.25">
      <c r="A86" s="176"/>
      <c r="B86" s="240"/>
      <c r="C86" s="207"/>
      <c r="D86" s="103"/>
      <c r="E86" s="85"/>
      <c r="F86" s="199"/>
      <c r="G86" s="200"/>
    </row>
    <row r="87" spans="1:16" s="26" customFormat="1" x14ac:dyDescent="0.2">
      <c r="A87" s="189"/>
      <c r="B87" s="357" t="s">
        <v>50</v>
      </c>
      <c r="C87" s="366"/>
      <c r="D87" s="359"/>
      <c r="E87" s="193"/>
      <c r="F87" s="194"/>
      <c r="G87" s="195"/>
    </row>
    <row r="88" spans="1:16" s="26" customFormat="1" ht="12.75" thickBot="1" x14ac:dyDescent="0.25">
      <c r="A88" s="360"/>
      <c r="B88" s="352" t="s">
        <v>51</v>
      </c>
      <c r="C88" s="367"/>
      <c r="D88" s="362"/>
      <c r="E88" s="363"/>
      <c r="F88" s="364"/>
      <c r="G88" s="365">
        <f>SUM(G60:G87)</f>
        <v>0</v>
      </c>
    </row>
    <row r="89" spans="1:16" s="26" customFormat="1" x14ac:dyDescent="0.2">
      <c r="A89" s="176"/>
      <c r="B89" s="196" t="s">
        <v>52</v>
      </c>
      <c r="C89" s="207"/>
      <c r="D89" s="103"/>
      <c r="E89" s="85"/>
      <c r="F89" s="199"/>
      <c r="G89" s="200"/>
    </row>
    <row r="90" spans="1:16" s="26" customFormat="1" x14ac:dyDescent="0.2">
      <c r="A90" s="176" t="s">
        <v>53</v>
      </c>
      <c r="B90" s="241" t="s">
        <v>54</v>
      </c>
      <c r="C90" s="207"/>
      <c r="D90" s="103"/>
      <c r="E90" s="85"/>
      <c r="F90" s="199"/>
      <c r="G90" s="200"/>
    </row>
    <row r="91" spans="1:16" s="26" customFormat="1" ht="58.5" customHeight="1" x14ac:dyDescent="0.25">
      <c r="A91" s="176"/>
      <c r="B91" s="236" t="s">
        <v>204</v>
      </c>
      <c r="C91" s="237"/>
      <c r="D91" s="237"/>
      <c r="E91" s="237"/>
      <c r="F91" s="237"/>
      <c r="G91" s="242"/>
    </row>
    <row r="92" spans="1:16" s="26" customFormat="1" ht="35.25" customHeight="1" x14ac:dyDescent="0.25">
      <c r="A92" s="176"/>
      <c r="B92" s="236" t="s">
        <v>203</v>
      </c>
      <c r="C92" s="237"/>
      <c r="D92" s="237"/>
      <c r="E92" s="237"/>
      <c r="F92" s="237"/>
      <c r="G92" s="242"/>
    </row>
    <row r="93" spans="1:16" s="26" customFormat="1" ht="36" customHeight="1" x14ac:dyDescent="0.25">
      <c r="A93" s="176"/>
      <c r="B93" s="236" t="s">
        <v>148</v>
      </c>
      <c r="C93" s="237"/>
      <c r="D93" s="237"/>
      <c r="E93" s="237"/>
      <c r="F93" s="237"/>
      <c r="G93" s="242"/>
    </row>
    <row r="94" spans="1:16" s="26" customFormat="1" ht="15" customHeight="1" x14ac:dyDescent="0.2">
      <c r="A94" s="243" t="s">
        <v>58</v>
      </c>
      <c r="B94" s="244" t="s">
        <v>59</v>
      </c>
      <c r="C94" s="245"/>
      <c r="D94" s="246"/>
      <c r="E94" s="247"/>
      <c r="F94" s="248"/>
      <c r="G94" s="249"/>
    </row>
    <row r="95" spans="1:16" s="51" customFormat="1" ht="14.25" customHeight="1" x14ac:dyDescent="0.25">
      <c r="A95" s="100"/>
      <c r="B95" s="229" t="s">
        <v>227</v>
      </c>
      <c r="C95" s="211"/>
      <c r="D95" s="212"/>
      <c r="E95" s="250"/>
      <c r="F95" s="251"/>
      <c r="G95" s="252"/>
      <c r="I95" s="50"/>
      <c r="J95" s="23"/>
      <c r="K95" s="23"/>
      <c r="L95" s="23"/>
      <c r="M95" s="26"/>
    </row>
    <row r="96" spans="1:16" s="26" customFormat="1" ht="12" customHeight="1" x14ac:dyDescent="0.25">
      <c r="A96" s="176"/>
      <c r="B96" s="234" t="s">
        <v>239</v>
      </c>
      <c r="C96" s="207" t="s">
        <v>42</v>
      </c>
      <c r="D96" s="103">
        <v>75.3</v>
      </c>
      <c r="E96" s="85"/>
      <c r="F96" s="79"/>
      <c r="G96" s="80">
        <f t="shared" ref="G96" si="3">(D96*E96)+(D96*F96)</f>
        <v>0</v>
      </c>
      <c r="I96" s="23">
        <f>1*18</f>
        <v>18</v>
      </c>
      <c r="J96" s="50">
        <f>1.15*1.15*3</f>
        <v>3.9674999999999994</v>
      </c>
      <c r="K96" s="23">
        <f>3.55*4+2.5*14+3.475*6</f>
        <v>70.050000000000011</v>
      </c>
      <c r="L96" s="23">
        <f>K96*0.5</f>
        <v>35.025000000000006</v>
      </c>
      <c r="M96" s="23">
        <f>23+1.5*5</f>
        <v>30.5</v>
      </c>
      <c r="N96" s="23">
        <f>M96*0.6</f>
        <v>18.3</v>
      </c>
      <c r="O96" s="23">
        <f>L96+N96</f>
        <v>53.325000000000003</v>
      </c>
      <c r="P96" s="26">
        <f>I96+J96+O96</f>
        <v>75.292500000000004</v>
      </c>
    </row>
    <row r="97" spans="1:14" s="26" customFormat="1" ht="15" customHeight="1" x14ac:dyDescent="0.2">
      <c r="A97" s="253" t="s">
        <v>63</v>
      </c>
      <c r="B97" s="254" t="s">
        <v>13</v>
      </c>
      <c r="C97" s="255"/>
      <c r="D97" s="246"/>
      <c r="E97" s="247"/>
      <c r="F97" s="248"/>
      <c r="G97" s="249"/>
    </row>
    <row r="98" spans="1:14" x14ac:dyDescent="0.2">
      <c r="A98" s="67" t="s">
        <v>141</v>
      </c>
      <c r="B98" s="68" t="s">
        <v>60</v>
      </c>
      <c r="C98" s="256"/>
      <c r="D98" s="257"/>
      <c r="E98" s="258"/>
      <c r="F98" s="259"/>
      <c r="G98" s="260"/>
    </row>
    <row r="99" spans="1:14" x14ac:dyDescent="0.2">
      <c r="A99" s="176"/>
      <c r="B99" s="234" t="s">
        <v>440</v>
      </c>
      <c r="C99" s="207" t="s">
        <v>44</v>
      </c>
      <c r="D99" s="103">
        <v>2.65</v>
      </c>
      <c r="E99" s="85"/>
      <c r="F99" s="79"/>
      <c r="G99" s="80">
        <f t="shared" ref="G99" si="4">(D99*E99)+(D99*F99)</f>
        <v>0</v>
      </c>
      <c r="I99" s="31">
        <f>0.7*0.7*0.3*18</f>
        <v>2.6459999999999995</v>
      </c>
      <c r="J99" s="28"/>
      <c r="K99" s="26"/>
      <c r="L99" s="52"/>
      <c r="M99" s="26"/>
      <c r="N99" s="52"/>
    </row>
    <row r="100" spans="1:14" x14ac:dyDescent="0.2">
      <c r="A100" s="176"/>
      <c r="B100" s="234" t="s">
        <v>441</v>
      </c>
      <c r="C100" s="207" t="s">
        <v>44</v>
      </c>
      <c r="D100" s="103">
        <v>0.65</v>
      </c>
      <c r="E100" s="85"/>
      <c r="F100" s="79"/>
      <c r="G100" s="80">
        <f t="shared" ref="G100:G102" si="5">(D100*E100)+(D100*F100)</f>
        <v>0</v>
      </c>
      <c r="I100" s="31">
        <f>0.85*0.85*0.3*3</f>
        <v>0.65024999999999988</v>
      </c>
      <c r="J100" s="28"/>
      <c r="K100" s="28"/>
      <c r="L100" s="52"/>
      <c r="M100" s="26"/>
      <c r="N100" s="52"/>
    </row>
    <row r="101" spans="1:14" x14ac:dyDescent="0.2">
      <c r="A101" s="176"/>
      <c r="B101" s="234" t="s">
        <v>240</v>
      </c>
      <c r="C101" s="207" t="s">
        <v>44</v>
      </c>
      <c r="D101" s="103">
        <v>5.2</v>
      </c>
      <c r="E101" s="85"/>
      <c r="F101" s="79"/>
      <c r="G101" s="80">
        <f t="shared" si="5"/>
        <v>0</v>
      </c>
      <c r="I101" s="31">
        <f>22.6*2+8.3*5</f>
        <v>86.7</v>
      </c>
      <c r="J101" s="28">
        <f>I101*0.2*0.3</f>
        <v>5.202</v>
      </c>
      <c r="K101" s="28"/>
      <c r="L101" s="52"/>
      <c r="M101" s="26"/>
      <c r="N101" s="52"/>
    </row>
    <row r="102" spans="1:14" x14ac:dyDescent="0.2">
      <c r="A102" s="176"/>
      <c r="B102" s="234" t="s">
        <v>241</v>
      </c>
      <c r="C102" s="207" t="s">
        <v>44</v>
      </c>
      <c r="D102" s="103">
        <v>1.88</v>
      </c>
      <c r="E102" s="85"/>
      <c r="F102" s="79"/>
      <c r="G102" s="80">
        <f t="shared" si="5"/>
        <v>0</v>
      </c>
      <c r="I102" s="31">
        <f>22.6+1.75*5</f>
        <v>31.35</v>
      </c>
      <c r="J102" s="28">
        <f>I102*0.3*0.2</f>
        <v>1.881</v>
      </c>
      <c r="K102" s="28"/>
      <c r="L102" s="52"/>
      <c r="M102" s="52"/>
      <c r="N102" s="52"/>
    </row>
    <row r="103" spans="1:14" x14ac:dyDescent="0.2">
      <c r="A103" s="67" t="s">
        <v>142</v>
      </c>
      <c r="B103" s="68" t="s">
        <v>62</v>
      </c>
      <c r="C103" s="256"/>
      <c r="D103" s="257"/>
      <c r="E103" s="258"/>
      <c r="F103" s="259"/>
      <c r="G103" s="260"/>
    </row>
    <row r="104" spans="1:14" x14ac:dyDescent="0.2">
      <c r="A104" s="107" t="s">
        <v>146</v>
      </c>
      <c r="B104" s="75" t="s">
        <v>161</v>
      </c>
      <c r="C104" s="109"/>
      <c r="D104" s="110"/>
      <c r="E104" s="111"/>
      <c r="F104" s="112"/>
      <c r="G104" s="261"/>
    </row>
    <row r="105" spans="1:14" ht="13.5" x14ac:dyDescent="0.2">
      <c r="A105" s="113"/>
      <c r="B105" s="82" t="s">
        <v>337</v>
      </c>
      <c r="C105" s="76" t="s">
        <v>131</v>
      </c>
      <c r="D105" s="77">
        <v>3.423</v>
      </c>
      <c r="E105" s="85"/>
      <c r="F105" s="79"/>
      <c r="G105" s="80">
        <f t="shared" ref="G105:G107" si="6">(D105*E105)+(D105*F105)</f>
        <v>0</v>
      </c>
      <c r="I105" s="22">
        <f>0.2*0.2*4.075*21</f>
        <v>3.4230000000000009</v>
      </c>
    </row>
    <row r="106" spans="1:14" ht="13.5" x14ac:dyDescent="0.2">
      <c r="A106" s="113"/>
      <c r="B106" s="82" t="s">
        <v>338</v>
      </c>
      <c r="C106" s="76" t="s">
        <v>131</v>
      </c>
      <c r="D106" s="77">
        <v>1.032</v>
      </c>
      <c r="E106" s="85"/>
      <c r="F106" s="79"/>
      <c r="G106" s="80">
        <f t="shared" si="6"/>
        <v>0</v>
      </c>
      <c r="I106" s="22">
        <f>0.2*0.2*3.225*8</f>
        <v>1.0320000000000003</v>
      </c>
    </row>
    <row r="107" spans="1:14" ht="13.5" x14ac:dyDescent="0.2">
      <c r="A107" s="113"/>
      <c r="B107" s="82" t="s">
        <v>340</v>
      </c>
      <c r="C107" s="76" t="s">
        <v>131</v>
      </c>
      <c r="D107" s="77">
        <v>0.64200000000000002</v>
      </c>
      <c r="E107" s="85"/>
      <c r="F107" s="79"/>
      <c r="G107" s="80">
        <f t="shared" si="6"/>
        <v>0</v>
      </c>
      <c r="I107" s="22">
        <f>0.15*0.15*4.075*7</f>
        <v>0.64181250000000001</v>
      </c>
    </row>
    <row r="108" spans="1:14" x14ac:dyDescent="0.2">
      <c r="A108" s="107" t="s">
        <v>10</v>
      </c>
      <c r="B108" s="75" t="s">
        <v>186</v>
      </c>
      <c r="C108" s="109"/>
      <c r="D108" s="110"/>
      <c r="E108" s="111"/>
      <c r="F108" s="79"/>
      <c r="G108" s="80">
        <f t="shared" ref="G108:G109" si="7">(D108*E108)+(D108*F108)</f>
        <v>0</v>
      </c>
    </row>
    <row r="109" spans="1:14" ht="13.5" x14ac:dyDescent="0.2">
      <c r="A109" s="113"/>
      <c r="B109" s="418" t="s">
        <v>281</v>
      </c>
      <c r="C109" s="76" t="s">
        <v>131</v>
      </c>
      <c r="D109" s="77">
        <v>25.71</v>
      </c>
      <c r="E109" s="85"/>
      <c r="F109" s="79"/>
      <c r="G109" s="80">
        <f t="shared" si="7"/>
        <v>0</v>
      </c>
      <c r="I109" s="22">
        <f>22.6*11.075</f>
        <v>250.29499999999999</v>
      </c>
      <c r="J109" s="22">
        <f>22.6*0.15*2</f>
        <v>6.78</v>
      </c>
      <c r="K109" s="22">
        <f>SUM(I109:J109)</f>
        <v>257.07499999999999</v>
      </c>
      <c r="L109" s="22">
        <f>K109*0.1</f>
        <v>25.7075</v>
      </c>
    </row>
    <row r="110" spans="1:14" x14ac:dyDescent="0.2">
      <c r="A110" s="67" t="s">
        <v>53</v>
      </c>
      <c r="B110" s="419" t="s">
        <v>230</v>
      </c>
      <c r="C110" s="69"/>
      <c r="D110" s="70"/>
      <c r="E110" s="71"/>
      <c r="F110" s="72"/>
      <c r="G110" s="73"/>
    </row>
    <row r="111" spans="1:14" x14ac:dyDescent="0.2">
      <c r="A111" s="107" t="s">
        <v>147</v>
      </c>
      <c r="B111" s="420" t="s">
        <v>242</v>
      </c>
      <c r="C111" s="109"/>
      <c r="D111" s="110"/>
      <c r="E111" s="111"/>
      <c r="F111" s="112"/>
      <c r="G111" s="261"/>
    </row>
    <row r="112" spans="1:14" ht="13.5" x14ac:dyDescent="0.2">
      <c r="A112" s="113"/>
      <c r="B112" s="418" t="s">
        <v>243</v>
      </c>
      <c r="C112" s="76" t="s">
        <v>131</v>
      </c>
      <c r="D112" s="77">
        <v>7.1</v>
      </c>
      <c r="E112" s="85"/>
      <c r="F112" s="79"/>
      <c r="G112" s="80">
        <f t="shared" ref="G112" si="8">(D112*E112)+(D112*F112)</f>
        <v>0</v>
      </c>
      <c r="I112" s="22">
        <f>22.6*3+8.3*5+1.8*5</f>
        <v>118.30000000000001</v>
      </c>
      <c r="K112" s="22">
        <f>I112*0.2*0.3</f>
        <v>7.0980000000000008</v>
      </c>
    </row>
    <row r="113" spans="1:14" x14ac:dyDescent="0.2">
      <c r="A113" s="405" t="s">
        <v>64</v>
      </c>
      <c r="B113" s="414" t="s">
        <v>12</v>
      </c>
      <c r="C113" s="415"/>
      <c r="D113" s="416"/>
      <c r="E113" s="417"/>
      <c r="F113" s="406"/>
      <c r="G113" s="407"/>
      <c r="M113" s="22" t="e">
        <f>#REF!-#REF!</f>
        <v>#REF!</v>
      </c>
    </row>
    <row r="114" spans="1:14" ht="15.75" customHeight="1" x14ac:dyDescent="0.2">
      <c r="A114" s="176"/>
      <c r="B114" s="453" t="s">
        <v>124</v>
      </c>
      <c r="C114" s="453"/>
      <c r="D114" s="453"/>
      <c r="E114" s="454"/>
      <c r="F114" s="213"/>
      <c r="G114" s="264"/>
    </row>
    <row r="115" spans="1:14" ht="42" customHeight="1" x14ac:dyDescent="0.2">
      <c r="A115" s="176"/>
      <c r="B115" s="453" t="s">
        <v>65</v>
      </c>
      <c r="C115" s="453"/>
      <c r="D115" s="453"/>
      <c r="E115" s="454"/>
      <c r="F115" s="213"/>
      <c r="G115" s="264"/>
    </row>
    <row r="116" spans="1:14" ht="30" customHeight="1" x14ac:dyDescent="0.2">
      <c r="A116" s="176"/>
      <c r="B116" s="453" t="s">
        <v>66</v>
      </c>
      <c r="C116" s="453"/>
      <c r="D116" s="453"/>
      <c r="E116" s="454"/>
      <c r="F116" s="213"/>
      <c r="G116" s="264"/>
    </row>
    <row r="117" spans="1:14" ht="40.5" customHeight="1" x14ac:dyDescent="0.2">
      <c r="A117" s="176"/>
      <c r="B117" s="455" t="s">
        <v>67</v>
      </c>
      <c r="C117" s="455"/>
      <c r="D117" s="455"/>
      <c r="E117" s="456"/>
      <c r="F117" s="285"/>
      <c r="G117" s="139"/>
    </row>
    <row r="118" spans="1:14" ht="12" customHeight="1" x14ac:dyDescent="0.2">
      <c r="A118" s="408"/>
      <c r="B118" s="409"/>
      <c r="C118" s="410"/>
      <c r="D118" s="410"/>
      <c r="E118" s="411"/>
      <c r="F118" s="412"/>
      <c r="G118" s="413"/>
    </row>
    <row r="119" spans="1:14" x14ac:dyDescent="0.2">
      <c r="A119" s="67" t="s">
        <v>141</v>
      </c>
      <c r="B119" s="265" t="s">
        <v>60</v>
      </c>
      <c r="C119" s="69"/>
      <c r="D119" s="70"/>
      <c r="E119" s="71"/>
      <c r="F119" s="72"/>
      <c r="G119" s="73"/>
    </row>
    <row r="120" spans="1:14" ht="13.5" x14ac:dyDescent="0.2">
      <c r="A120" s="176"/>
      <c r="B120" s="234" t="s">
        <v>440</v>
      </c>
      <c r="C120" s="266" t="s">
        <v>133</v>
      </c>
      <c r="D120" s="103">
        <v>15.12</v>
      </c>
      <c r="E120" s="85"/>
      <c r="F120" s="79"/>
      <c r="G120" s="80">
        <f t="shared" ref="G120:G123" si="9">(D120*E120)+(D120*F120)</f>
        <v>0</v>
      </c>
      <c r="I120" s="31">
        <f>0.7*4*0.3*18</f>
        <v>15.12</v>
      </c>
      <c r="J120" s="28"/>
      <c r="K120" s="26"/>
      <c r="L120" s="52"/>
      <c r="M120" s="26"/>
      <c r="N120" s="52"/>
    </row>
    <row r="121" spans="1:14" ht="13.5" x14ac:dyDescent="0.2">
      <c r="A121" s="176"/>
      <c r="B121" s="234" t="s">
        <v>442</v>
      </c>
      <c r="C121" s="266" t="s">
        <v>133</v>
      </c>
      <c r="D121" s="103">
        <v>3.06</v>
      </c>
      <c r="E121" s="85"/>
      <c r="F121" s="79"/>
      <c r="G121" s="80">
        <f t="shared" si="9"/>
        <v>0</v>
      </c>
      <c r="I121" s="31">
        <f>0.85*4*0.3*3</f>
        <v>3.06</v>
      </c>
      <c r="J121" s="28"/>
      <c r="K121" s="28"/>
      <c r="L121" s="52"/>
      <c r="M121" s="26"/>
      <c r="N121" s="52"/>
    </row>
    <row r="122" spans="1:14" ht="13.5" x14ac:dyDescent="0.2">
      <c r="A122" s="176"/>
      <c r="B122" s="234" t="s">
        <v>244</v>
      </c>
      <c r="C122" s="266" t="s">
        <v>133</v>
      </c>
      <c r="D122" s="103">
        <v>52.02</v>
      </c>
      <c r="E122" s="85"/>
      <c r="F122" s="79"/>
      <c r="G122" s="80">
        <f t="shared" si="9"/>
        <v>0</v>
      </c>
      <c r="I122" s="31">
        <f>22.6*2+8.3*5</f>
        <v>86.7</v>
      </c>
      <c r="J122" s="28">
        <f>I122*2*0.3</f>
        <v>52.02</v>
      </c>
      <c r="K122" s="28"/>
      <c r="L122" s="52"/>
      <c r="M122" s="26"/>
      <c r="N122" s="52"/>
    </row>
    <row r="123" spans="1:14" ht="13.5" x14ac:dyDescent="0.2">
      <c r="A123" s="176"/>
      <c r="B123" s="234" t="s">
        <v>241</v>
      </c>
      <c r="C123" s="266" t="s">
        <v>133</v>
      </c>
      <c r="D123" s="103">
        <v>12.54</v>
      </c>
      <c r="E123" s="85"/>
      <c r="F123" s="79"/>
      <c r="G123" s="80">
        <f t="shared" si="9"/>
        <v>0</v>
      </c>
      <c r="I123" s="31">
        <f>22.6+1.75*5</f>
        <v>31.35</v>
      </c>
      <c r="J123" s="28">
        <f>I123*2*0.2</f>
        <v>12.540000000000001</v>
      </c>
      <c r="K123" s="28"/>
      <c r="L123" s="52"/>
      <c r="M123" s="52"/>
      <c r="N123" s="52"/>
    </row>
    <row r="124" spans="1:14" x14ac:dyDescent="0.2">
      <c r="A124" s="67" t="s">
        <v>142</v>
      </c>
      <c r="B124" s="68" t="s">
        <v>62</v>
      </c>
      <c r="C124" s="256"/>
      <c r="D124" s="257"/>
      <c r="E124" s="258"/>
      <c r="F124" s="259"/>
      <c r="G124" s="260"/>
    </row>
    <row r="125" spans="1:14" x14ac:dyDescent="0.2">
      <c r="A125" s="107" t="s">
        <v>146</v>
      </c>
      <c r="B125" s="75" t="s">
        <v>161</v>
      </c>
      <c r="C125" s="109"/>
      <c r="D125" s="110"/>
      <c r="E125" s="111"/>
      <c r="F125" s="112"/>
      <c r="G125" s="261"/>
    </row>
    <row r="126" spans="1:14" ht="13.5" x14ac:dyDescent="0.2">
      <c r="A126" s="113"/>
      <c r="B126" s="82" t="s">
        <v>337</v>
      </c>
      <c r="C126" s="266" t="s">
        <v>133</v>
      </c>
      <c r="D126" s="77">
        <v>68.459999999999994</v>
      </c>
      <c r="E126" s="85"/>
      <c r="F126" s="79"/>
      <c r="G126" s="80">
        <f t="shared" ref="G126:G128" si="10">(D126*E126)+(D126*F126)</f>
        <v>0</v>
      </c>
      <c r="I126" s="22">
        <f>0.2*4*4.075*21</f>
        <v>68.460000000000008</v>
      </c>
    </row>
    <row r="127" spans="1:14" ht="13.5" x14ac:dyDescent="0.2">
      <c r="A127" s="113"/>
      <c r="B127" s="82" t="s">
        <v>443</v>
      </c>
      <c r="C127" s="266" t="s">
        <v>133</v>
      </c>
      <c r="D127" s="77">
        <v>20.64</v>
      </c>
      <c r="E127" s="85"/>
      <c r="F127" s="79"/>
      <c r="G127" s="80">
        <f t="shared" si="10"/>
        <v>0</v>
      </c>
      <c r="I127" s="22">
        <f>0.2*4*3.225*8</f>
        <v>20.64</v>
      </c>
    </row>
    <row r="128" spans="1:14" ht="13.5" x14ac:dyDescent="0.2">
      <c r="A128" s="113"/>
      <c r="B128" s="82" t="s">
        <v>340</v>
      </c>
      <c r="C128" s="266" t="s">
        <v>133</v>
      </c>
      <c r="D128" s="77">
        <v>17.114999999999998</v>
      </c>
      <c r="E128" s="85"/>
      <c r="F128" s="79"/>
      <c r="G128" s="80">
        <f t="shared" si="10"/>
        <v>0</v>
      </c>
      <c r="I128" s="22">
        <f>0.15*4*4.075*7</f>
        <v>17.114999999999998</v>
      </c>
    </row>
    <row r="129" spans="1:11" x14ac:dyDescent="0.2">
      <c r="A129" s="67" t="s">
        <v>53</v>
      </c>
      <c r="B129" s="68" t="s">
        <v>230</v>
      </c>
      <c r="C129" s="69"/>
      <c r="D129" s="70"/>
      <c r="E129" s="71"/>
      <c r="F129" s="72"/>
      <c r="G129" s="73"/>
    </row>
    <row r="130" spans="1:11" x14ac:dyDescent="0.2">
      <c r="A130" s="107" t="s">
        <v>147</v>
      </c>
      <c r="B130" s="75" t="s">
        <v>245</v>
      </c>
      <c r="C130" s="109"/>
      <c r="D130" s="110"/>
      <c r="E130" s="111"/>
      <c r="F130" s="112"/>
      <c r="G130" s="261"/>
    </row>
    <row r="131" spans="1:11" ht="14.25" thickBot="1" x14ac:dyDescent="0.25">
      <c r="A131" s="391"/>
      <c r="B131" s="392" t="s">
        <v>243</v>
      </c>
      <c r="C131" s="404" t="s">
        <v>133</v>
      </c>
      <c r="D131" s="393">
        <v>107.91</v>
      </c>
      <c r="E131" s="363"/>
      <c r="F131" s="354"/>
      <c r="G131" s="372">
        <f t="shared" ref="G131" si="11">(D131*E131)+(D131*F131)</f>
        <v>0</v>
      </c>
      <c r="I131" s="22">
        <f>22.6*3+8.7*2+2.2*2+8.3*3+1.8*3</f>
        <v>119.90000000000003</v>
      </c>
      <c r="J131" s="22">
        <f>I131*0.9</f>
        <v>107.91000000000004</v>
      </c>
    </row>
    <row r="132" spans="1:11" x14ac:dyDescent="0.2">
      <c r="A132" s="113"/>
      <c r="B132" s="82"/>
      <c r="C132" s="266"/>
      <c r="D132" s="77"/>
      <c r="E132" s="85"/>
      <c r="F132" s="79"/>
      <c r="G132" s="80"/>
    </row>
    <row r="133" spans="1:11" x14ac:dyDescent="0.2">
      <c r="A133" s="243" t="s">
        <v>94</v>
      </c>
      <c r="B133" s="262" t="s">
        <v>11</v>
      </c>
      <c r="C133" s="255"/>
      <c r="D133" s="246"/>
      <c r="E133" s="247"/>
      <c r="F133" s="246"/>
      <c r="G133" s="263"/>
    </row>
    <row r="134" spans="1:11" ht="63" customHeight="1" x14ac:dyDescent="0.2">
      <c r="A134" s="232"/>
      <c r="B134" s="138" t="s">
        <v>95</v>
      </c>
      <c r="C134" s="138"/>
      <c r="D134" s="138"/>
      <c r="E134" s="138"/>
      <c r="F134" s="138"/>
      <c r="G134" s="139"/>
    </row>
    <row r="135" spans="1:11" ht="37.5" customHeight="1" x14ac:dyDescent="0.2">
      <c r="A135" s="100"/>
      <c r="B135" s="138" t="s">
        <v>96</v>
      </c>
      <c r="C135" s="138"/>
      <c r="D135" s="138"/>
      <c r="E135" s="138"/>
      <c r="F135" s="138"/>
      <c r="G135" s="139"/>
    </row>
    <row r="136" spans="1:11" ht="48" customHeight="1" x14ac:dyDescent="0.2">
      <c r="A136" s="232"/>
      <c r="B136" s="138" t="s">
        <v>251</v>
      </c>
      <c r="C136" s="138"/>
      <c r="D136" s="138"/>
      <c r="E136" s="138"/>
      <c r="F136" s="138"/>
      <c r="G136" s="139"/>
    </row>
    <row r="137" spans="1:11" x14ac:dyDescent="0.2">
      <c r="A137" s="67" t="s">
        <v>97</v>
      </c>
      <c r="B137" s="68" t="s">
        <v>205</v>
      </c>
      <c r="C137" s="69"/>
      <c r="D137" s="70"/>
      <c r="E137" s="71"/>
      <c r="F137" s="72"/>
      <c r="G137" s="73"/>
    </row>
    <row r="138" spans="1:11" x14ac:dyDescent="0.2">
      <c r="A138" s="67" t="s">
        <v>155</v>
      </c>
      <c r="B138" s="68" t="s">
        <v>60</v>
      </c>
      <c r="C138" s="69"/>
      <c r="D138" s="70"/>
      <c r="E138" s="71"/>
      <c r="F138" s="72"/>
      <c r="G138" s="73"/>
    </row>
    <row r="139" spans="1:11" x14ac:dyDescent="0.2">
      <c r="A139" s="113"/>
      <c r="B139" s="267" t="s">
        <v>246</v>
      </c>
      <c r="C139" s="76" t="s">
        <v>125</v>
      </c>
      <c r="D139" s="77">
        <f>I141/1000</f>
        <v>0.15984000000000001</v>
      </c>
      <c r="E139" s="78"/>
      <c r="F139" s="79"/>
      <c r="G139" s="80">
        <f t="shared" ref="G139:G141" si="12">(D139*E139)+(D139*F139)</f>
        <v>0</v>
      </c>
    </row>
    <row r="140" spans="1:11" x14ac:dyDescent="0.2">
      <c r="A140" s="113"/>
      <c r="B140" s="82" t="s">
        <v>207</v>
      </c>
      <c r="C140" s="76" t="s">
        <v>8</v>
      </c>
      <c r="D140" s="77">
        <v>30</v>
      </c>
      <c r="E140" s="78"/>
      <c r="F140" s="79"/>
      <c r="G140" s="80">
        <f t="shared" si="12"/>
        <v>0</v>
      </c>
      <c r="I140" s="31">
        <f>D140*0.888*6</f>
        <v>159.84</v>
      </c>
      <c r="K140" s="31"/>
    </row>
    <row r="141" spans="1:11" x14ac:dyDescent="0.2">
      <c r="A141" s="113"/>
      <c r="B141" s="82" t="s">
        <v>14</v>
      </c>
      <c r="C141" s="76" t="s">
        <v>9</v>
      </c>
      <c r="D141" s="77">
        <f>D139*20</f>
        <v>3.1968000000000001</v>
      </c>
      <c r="E141" s="78"/>
      <c r="F141" s="79"/>
      <c r="G141" s="80">
        <f t="shared" si="12"/>
        <v>0</v>
      </c>
      <c r="I141" s="31">
        <f>SUM(I139:I140)</f>
        <v>159.84</v>
      </c>
      <c r="J141" s="31"/>
    </row>
    <row r="142" spans="1:11" x14ac:dyDescent="0.2">
      <c r="A142" s="113"/>
      <c r="B142" s="267" t="s">
        <v>247</v>
      </c>
      <c r="C142" s="76" t="s">
        <v>125</v>
      </c>
      <c r="D142" s="77">
        <f>I144/1000</f>
        <v>3.1968000000000003E-2</v>
      </c>
      <c r="E142" s="78"/>
      <c r="F142" s="79"/>
      <c r="G142" s="80">
        <f t="shared" ref="G142:G144" si="13">(D142*E142)+(D142*F142)</f>
        <v>0</v>
      </c>
      <c r="J142" s="31"/>
    </row>
    <row r="143" spans="1:11" x14ac:dyDescent="0.2">
      <c r="A143" s="113"/>
      <c r="B143" s="82" t="s">
        <v>207</v>
      </c>
      <c r="C143" s="76" t="s">
        <v>8</v>
      </c>
      <c r="D143" s="77">
        <v>6</v>
      </c>
      <c r="E143" s="78"/>
      <c r="F143" s="79"/>
      <c r="G143" s="80">
        <f t="shared" si="13"/>
        <v>0</v>
      </c>
      <c r="I143" s="31">
        <f>D143*0.888*6</f>
        <v>31.968000000000004</v>
      </c>
      <c r="J143" s="31"/>
    </row>
    <row r="144" spans="1:11" x14ac:dyDescent="0.2">
      <c r="A144" s="113"/>
      <c r="B144" s="82" t="s">
        <v>14</v>
      </c>
      <c r="C144" s="76" t="s">
        <v>9</v>
      </c>
      <c r="D144" s="77">
        <f>D142*20</f>
        <v>0.63936000000000004</v>
      </c>
      <c r="E144" s="78"/>
      <c r="F144" s="79"/>
      <c r="G144" s="80">
        <f t="shared" si="13"/>
        <v>0</v>
      </c>
      <c r="I144" s="31">
        <f>SUM(I142:I143)</f>
        <v>31.968000000000004</v>
      </c>
      <c r="J144" s="31"/>
    </row>
    <row r="145" spans="1:13" x14ac:dyDescent="0.2">
      <c r="A145" s="113"/>
      <c r="B145" s="267" t="s">
        <v>248</v>
      </c>
      <c r="C145" s="76" t="s">
        <v>125</v>
      </c>
      <c r="D145" s="77">
        <f>I148/1000</f>
        <v>0.73450800000000005</v>
      </c>
      <c r="E145" s="78"/>
      <c r="F145" s="79"/>
      <c r="G145" s="80">
        <f t="shared" ref="G145:G148" si="14">(D145*E145)+(D145*F145)</f>
        <v>0</v>
      </c>
      <c r="J145" s="31"/>
    </row>
    <row r="146" spans="1:13" x14ac:dyDescent="0.2">
      <c r="A146" s="113"/>
      <c r="B146" s="82" t="s">
        <v>206</v>
      </c>
      <c r="C146" s="76" t="s">
        <v>8</v>
      </c>
      <c r="D146" s="77">
        <v>72</v>
      </c>
      <c r="E146" s="78"/>
      <c r="F146" s="79"/>
      <c r="G146" s="80">
        <f t="shared" si="14"/>
        <v>0</v>
      </c>
      <c r="I146" s="31">
        <f>D146*1.58*6</f>
        <v>682.56000000000006</v>
      </c>
      <c r="J146" s="31">
        <f>22.6*2+8.7*5</f>
        <v>88.7</v>
      </c>
      <c r="K146" s="47">
        <f>J146/0.15</f>
        <v>591.33333333333337</v>
      </c>
      <c r="L146" s="47">
        <f>K146/9</f>
        <v>65.703703703703709</v>
      </c>
    </row>
    <row r="147" spans="1:13" x14ac:dyDescent="0.2">
      <c r="A147" s="113"/>
      <c r="B147" s="82" t="s">
        <v>209</v>
      </c>
      <c r="C147" s="76" t="s">
        <v>8</v>
      </c>
      <c r="D147" s="77">
        <v>39</v>
      </c>
      <c r="E147" s="78"/>
      <c r="F147" s="79"/>
      <c r="G147" s="80">
        <f t="shared" si="14"/>
        <v>0</v>
      </c>
      <c r="I147" s="31">
        <f>0.222*D147*6</f>
        <v>51.947999999999993</v>
      </c>
      <c r="J147" s="31"/>
    </row>
    <row r="148" spans="1:13" x14ac:dyDescent="0.2">
      <c r="A148" s="113"/>
      <c r="B148" s="82" t="s">
        <v>14</v>
      </c>
      <c r="C148" s="76" t="s">
        <v>9</v>
      </c>
      <c r="D148" s="77">
        <f>D145*20</f>
        <v>14.690160000000001</v>
      </c>
      <c r="E148" s="78"/>
      <c r="F148" s="79"/>
      <c r="G148" s="80">
        <f t="shared" si="14"/>
        <v>0</v>
      </c>
      <c r="I148" s="31">
        <f>SUM(I146:I147)</f>
        <v>734.50800000000004</v>
      </c>
      <c r="J148" s="31"/>
    </row>
    <row r="149" spans="1:13" x14ac:dyDescent="0.2">
      <c r="A149" s="113"/>
      <c r="B149" s="267" t="s">
        <v>249</v>
      </c>
      <c r="C149" s="76" t="s">
        <v>125</v>
      </c>
      <c r="D149" s="77">
        <f>I152/1000</f>
        <v>0.27977999999999997</v>
      </c>
      <c r="E149" s="78"/>
      <c r="F149" s="79"/>
      <c r="G149" s="80">
        <f t="shared" ref="G149:G152" si="15">(D149*E149)+(D149*F149)</f>
        <v>0</v>
      </c>
      <c r="J149" s="31"/>
    </row>
    <row r="150" spans="1:13" x14ac:dyDescent="0.2">
      <c r="A150" s="113"/>
      <c r="B150" s="82" t="s">
        <v>206</v>
      </c>
      <c r="C150" s="76" t="s">
        <v>8</v>
      </c>
      <c r="D150" s="77">
        <v>26</v>
      </c>
      <c r="E150" s="78"/>
      <c r="F150" s="79"/>
      <c r="G150" s="80">
        <f t="shared" si="15"/>
        <v>0</v>
      </c>
      <c r="I150" s="31">
        <f>D150*1.58*6</f>
        <v>246.48</v>
      </c>
      <c r="J150" s="31"/>
      <c r="K150" s="22">
        <f>22.6+2.2*5</f>
        <v>33.6</v>
      </c>
      <c r="L150" s="22">
        <f>K150/0.15</f>
        <v>224.00000000000003</v>
      </c>
      <c r="M150" s="22">
        <f>L150/9</f>
        <v>24.888888888888893</v>
      </c>
    </row>
    <row r="151" spans="1:13" x14ac:dyDescent="0.2">
      <c r="A151" s="113"/>
      <c r="B151" s="82" t="s">
        <v>209</v>
      </c>
      <c r="C151" s="76" t="s">
        <v>8</v>
      </c>
      <c r="D151" s="77">
        <v>25</v>
      </c>
      <c r="E151" s="78"/>
      <c r="F151" s="79"/>
      <c r="G151" s="80">
        <f t="shared" si="15"/>
        <v>0</v>
      </c>
      <c r="I151" s="31">
        <f>0.222*D151*6</f>
        <v>33.299999999999997</v>
      </c>
      <c r="J151" s="31"/>
    </row>
    <row r="152" spans="1:13" x14ac:dyDescent="0.2">
      <c r="A152" s="113"/>
      <c r="B152" s="82" t="s">
        <v>14</v>
      </c>
      <c r="C152" s="76" t="s">
        <v>9</v>
      </c>
      <c r="D152" s="77">
        <f>D149*20</f>
        <v>5.5955999999999992</v>
      </c>
      <c r="E152" s="78"/>
      <c r="F152" s="79"/>
      <c r="G152" s="80">
        <f t="shared" si="15"/>
        <v>0</v>
      </c>
      <c r="I152" s="31">
        <f>SUM(I150:I151)</f>
        <v>279.77999999999997</v>
      </c>
      <c r="J152" s="31"/>
    </row>
    <row r="153" spans="1:13" x14ac:dyDescent="0.2">
      <c r="A153" s="67" t="s">
        <v>126</v>
      </c>
      <c r="B153" s="68" t="s">
        <v>62</v>
      </c>
      <c r="C153" s="69"/>
      <c r="D153" s="70"/>
      <c r="E153" s="71"/>
      <c r="F153" s="72"/>
      <c r="G153" s="73">
        <f t="shared" ref="G153" si="16">(D153*E153)+(D153*F153)</f>
        <v>0</v>
      </c>
    </row>
    <row r="154" spans="1:13" x14ac:dyDescent="0.2">
      <c r="A154" s="268" t="s">
        <v>155</v>
      </c>
      <c r="B154" s="269" t="s">
        <v>161</v>
      </c>
      <c r="C154" s="270"/>
      <c r="D154" s="271"/>
      <c r="E154" s="272"/>
      <c r="F154" s="79"/>
      <c r="G154" s="80"/>
    </row>
    <row r="155" spans="1:13" x14ac:dyDescent="0.2">
      <c r="A155" s="113" t="s">
        <v>171</v>
      </c>
      <c r="B155" s="82" t="s">
        <v>339</v>
      </c>
      <c r="C155" s="76" t="s">
        <v>125</v>
      </c>
      <c r="D155" s="77">
        <f>I158/1000</f>
        <v>0.88023599999999991</v>
      </c>
      <c r="E155" s="78"/>
      <c r="F155" s="79"/>
      <c r="G155" s="80">
        <f t="shared" ref="G155" si="17">(D155*E155)+(D155*F155)</f>
        <v>0</v>
      </c>
    </row>
    <row r="156" spans="1:13" x14ac:dyDescent="0.2">
      <c r="A156" s="107"/>
      <c r="B156" s="82" t="s">
        <v>206</v>
      </c>
      <c r="C156" s="76" t="s">
        <v>8</v>
      </c>
      <c r="D156" s="77">
        <v>84</v>
      </c>
      <c r="E156" s="78"/>
      <c r="F156" s="79"/>
      <c r="G156" s="80">
        <f t="shared" ref="G156:G158" si="18">(D156*E156)+(D156*F156)</f>
        <v>0</v>
      </c>
      <c r="I156" s="31">
        <f>D156*1.58*6</f>
        <v>796.31999999999994</v>
      </c>
      <c r="J156" s="22">
        <f>4*21</f>
        <v>84</v>
      </c>
      <c r="L156" s="22">
        <f>33*21</f>
        <v>693</v>
      </c>
      <c r="M156" s="22">
        <f>L156/11</f>
        <v>63</v>
      </c>
    </row>
    <row r="157" spans="1:13" x14ac:dyDescent="0.2">
      <c r="A157" s="113"/>
      <c r="B157" s="82" t="s">
        <v>209</v>
      </c>
      <c r="C157" s="76" t="s">
        <v>8</v>
      </c>
      <c r="D157" s="77">
        <v>63</v>
      </c>
      <c r="E157" s="78"/>
      <c r="F157" s="79"/>
      <c r="G157" s="80">
        <f t="shared" si="18"/>
        <v>0</v>
      </c>
      <c r="I157" s="31">
        <f>0.222*D157*6</f>
        <v>83.915999999999997</v>
      </c>
    </row>
    <row r="158" spans="1:13" x14ac:dyDescent="0.2">
      <c r="A158" s="113"/>
      <c r="B158" s="82" t="s">
        <v>14</v>
      </c>
      <c r="C158" s="76" t="s">
        <v>9</v>
      </c>
      <c r="D158" s="77">
        <f>D155*20</f>
        <v>17.604719999999997</v>
      </c>
      <c r="E158" s="78"/>
      <c r="F158" s="79"/>
      <c r="G158" s="80">
        <f t="shared" si="18"/>
        <v>0</v>
      </c>
      <c r="I158" s="31">
        <f>SUM(I156:I157)</f>
        <v>880.23599999999988</v>
      </c>
      <c r="J158" s="31"/>
    </row>
    <row r="159" spans="1:13" x14ac:dyDescent="0.2">
      <c r="A159" s="113" t="s">
        <v>172</v>
      </c>
      <c r="B159" s="82" t="s">
        <v>444</v>
      </c>
      <c r="C159" s="76" t="s">
        <v>125</v>
      </c>
      <c r="D159" s="77">
        <f>I162/1000</f>
        <v>0.19580400000000001</v>
      </c>
      <c r="E159" s="78"/>
      <c r="F159" s="79"/>
      <c r="G159" s="80">
        <f t="shared" ref="G159:G166" si="19">(D159*E159)+(D159*F159)</f>
        <v>0</v>
      </c>
      <c r="I159" s="31"/>
      <c r="J159" s="31"/>
    </row>
    <row r="160" spans="1:13" x14ac:dyDescent="0.2">
      <c r="A160" s="113"/>
      <c r="B160" s="82" t="s">
        <v>207</v>
      </c>
      <c r="C160" s="76" t="s">
        <v>8</v>
      </c>
      <c r="D160" s="77">
        <v>32</v>
      </c>
      <c r="E160" s="78"/>
      <c r="F160" s="79"/>
      <c r="G160" s="80">
        <f t="shared" si="19"/>
        <v>0</v>
      </c>
      <c r="I160" s="31">
        <f>D160*0.888*6</f>
        <v>170.49600000000001</v>
      </c>
      <c r="J160" s="22">
        <f>4*8</f>
        <v>32</v>
      </c>
      <c r="K160" s="22">
        <f>25*8</f>
        <v>200</v>
      </c>
      <c r="L160" s="22">
        <f>K160/11</f>
        <v>18.181818181818183</v>
      </c>
    </row>
    <row r="161" spans="1:19" x14ac:dyDescent="0.2">
      <c r="A161" s="113"/>
      <c r="B161" s="82" t="s">
        <v>209</v>
      </c>
      <c r="C161" s="76" t="s">
        <v>8</v>
      </c>
      <c r="D161" s="77">
        <v>19</v>
      </c>
      <c r="E161" s="78"/>
      <c r="F161" s="79"/>
      <c r="G161" s="80">
        <f t="shared" si="19"/>
        <v>0</v>
      </c>
      <c r="I161" s="31">
        <f>0.222*D161*6</f>
        <v>25.308</v>
      </c>
    </row>
    <row r="162" spans="1:19" x14ac:dyDescent="0.2">
      <c r="A162" s="113"/>
      <c r="B162" s="82" t="s">
        <v>14</v>
      </c>
      <c r="C162" s="76" t="s">
        <v>9</v>
      </c>
      <c r="D162" s="77">
        <f>D159*20</f>
        <v>3.91608</v>
      </c>
      <c r="E162" s="78"/>
      <c r="F162" s="79"/>
      <c r="G162" s="80">
        <f t="shared" si="19"/>
        <v>0</v>
      </c>
      <c r="I162" s="31">
        <f>SUM(I160:I161)</f>
        <v>195.804</v>
      </c>
      <c r="J162" s="31"/>
    </row>
    <row r="163" spans="1:19" x14ac:dyDescent="0.2">
      <c r="A163" s="113" t="s">
        <v>173</v>
      </c>
      <c r="B163" s="82" t="s">
        <v>341</v>
      </c>
      <c r="C163" s="76" t="s">
        <v>125</v>
      </c>
      <c r="D163" s="77">
        <f>I166/1000</f>
        <v>5.6706000000000006E-2</v>
      </c>
      <c r="E163" s="78"/>
      <c r="F163" s="79"/>
      <c r="G163" s="80">
        <f t="shared" si="19"/>
        <v>0</v>
      </c>
      <c r="I163" s="31"/>
      <c r="J163" s="31"/>
    </row>
    <row r="164" spans="1:19" x14ac:dyDescent="0.2">
      <c r="A164" s="113"/>
      <c r="B164" s="82" t="s">
        <v>208</v>
      </c>
      <c r="C164" s="76" t="s">
        <v>8</v>
      </c>
      <c r="D164" s="77">
        <v>11</v>
      </c>
      <c r="E164" s="78"/>
      <c r="F164" s="79"/>
      <c r="G164" s="80">
        <f t="shared" si="19"/>
        <v>0</v>
      </c>
      <c r="I164" s="31">
        <f>D164*0.617*6</f>
        <v>40.722000000000001</v>
      </c>
      <c r="J164" s="31">
        <f>1.5*7</f>
        <v>10.5</v>
      </c>
    </row>
    <row r="165" spans="1:19" x14ac:dyDescent="0.2">
      <c r="A165" s="113"/>
      <c r="B165" s="82" t="s">
        <v>209</v>
      </c>
      <c r="C165" s="76" t="s">
        <v>8</v>
      </c>
      <c r="D165" s="77">
        <v>12</v>
      </c>
      <c r="E165" s="78"/>
      <c r="F165" s="79"/>
      <c r="G165" s="80">
        <f t="shared" si="19"/>
        <v>0</v>
      </c>
      <c r="I165" s="31">
        <f>0.222*D165*6</f>
        <v>15.984000000000002</v>
      </c>
      <c r="J165" s="31"/>
    </row>
    <row r="166" spans="1:19" x14ac:dyDescent="0.2">
      <c r="A166" s="113"/>
      <c r="B166" s="82" t="s">
        <v>14</v>
      </c>
      <c r="C166" s="76" t="s">
        <v>9</v>
      </c>
      <c r="D166" s="77">
        <f>D163*20</f>
        <v>1.1341200000000002</v>
      </c>
      <c r="E166" s="78"/>
      <c r="F166" s="79"/>
      <c r="G166" s="80">
        <f t="shared" si="19"/>
        <v>0</v>
      </c>
      <c r="I166" s="31">
        <f>SUM(I164:I165)</f>
        <v>56.706000000000003</v>
      </c>
      <c r="J166" s="31"/>
    </row>
    <row r="167" spans="1:19" x14ac:dyDescent="0.2">
      <c r="A167" s="107" t="s">
        <v>164</v>
      </c>
      <c r="B167" s="75" t="s">
        <v>192</v>
      </c>
      <c r="C167" s="109" t="s">
        <v>125</v>
      </c>
      <c r="D167" s="110">
        <f>I169/1000</f>
        <v>1.1105999999999998</v>
      </c>
      <c r="E167" s="111"/>
      <c r="F167" s="79"/>
      <c r="G167" s="80">
        <f t="shared" ref="G167:G169" si="20">(D167*E167)+(D167*F167)</f>
        <v>0</v>
      </c>
    </row>
    <row r="168" spans="1:19" x14ac:dyDescent="0.2">
      <c r="A168" s="107"/>
      <c r="B168" s="82" t="s">
        <v>208</v>
      </c>
      <c r="C168" s="76" t="s">
        <v>8</v>
      </c>
      <c r="D168" s="77">
        <v>300</v>
      </c>
      <c r="E168" s="78"/>
      <c r="F168" s="79"/>
      <c r="G168" s="80">
        <f t="shared" si="20"/>
        <v>0</v>
      </c>
      <c r="I168" s="31">
        <f>D168*0.617*6</f>
        <v>1110.5999999999999</v>
      </c>
      <c r="K168" s="22">
        <f>K109</f>
        <v>257.07499999999999</v>
      </c>
      <c r="L168" s="22">
        <f>K168*7</f>
        <v>1799.5249999999999</v>
      </c>
      <c r="M168" s="22">
        <f>L168/6</f>
        <v>299.92083333333329</v>
      </c>
    </row>
    <row r="169" spans="1:19" x14ac:dyDescent="0.2">
      <c r="A169" s="113"/>
      <c r="B169" s="82" t="s">
        <v>14</v>
      </c>
      <c r="C169" s="76" t="s">
        <v>9</v>
      </c>
      <c r="D169" s="77">
        <f>D167*20</f>
        <v>22.211999999999996</v>
      </c>
      <c r="E169" s="78"/>
      <c r="F169" s="79"/>
      <c r="G169" s="80">
        <f t="shared" si="20"/>
        <v>0</v>
      </c>
      <c r="I169" s="31">
        <f>SUM(I167:I168)</f>
        <v>1110.5999999999999</v>
      </c>
    </row>
    <row r="170" spans="1:19" x14ac:dyDescent="0.2">
      <c r="A170" s="113"/>
      <c r="B170" s="82"/>
      <c r="C170" s="76"/>
      <c r="D170" s="77"/>
      <c r="E170" s="78"/>
      <c r="F170" s="79"/>
      <c r="G170" s="80"/>
      <c r="I170" s="31"/>
    </row>
    <row r="171" spans="1:19" x14ac:dyDescent="0.2">
      <c r="A171" s="67" t="s">
        <v>127</v>
      </c>
      <c r="B171" s="68" t="s">
        <v>230</v>
      </c>
      <c r="C171" s="69"/>
      <c r="D171" s="70"/>
      <c r="E171" s="71"/>
      <c r="F171" s="72"/>
      <c r="G171" s="73"/>
      <c r="H171" s="38"/>
      <c r="I171" s="38"/>
      <c r="J171" s="38"/>
      <c r="K171" s="38"/>
      <c r="L171" s="38"/>
    </row>
    <row r="172" spans="1:19" x14ac:dyDescent="0.2">
      <c r="A172" s="268" t="s">
        <v>155</v>
      </c>
      <c r="B172" s="269" t="s">
        <v>245</v>
      </c>
      <c r="C172" s="270"/>
      <c r="D172" s="271"/>
      <c r="E172" s="272"/>
      <c r="F172" s="273"/>
      <c r="G172" s="175"/>
      <c r="H172" s="38"/>
      <c r="I172" s="38"/>
      <c r="J172" s="38"/>
      <c r="K172" s="38"/>
      <c r="L172" s="38"/>
      <c r="S172" s="22">
        <f>7.55+2.955+2.9+2.4+2.4</f>
        <v>18.204999999999998</v>
      </c>
    </row>
    <row r="173" spans="1:19" x14ac:dyDescent="0.2">
      <c r="A173" s="268" t="s">
        <v>171</v>
      </c>
      <c r="B173" s="269" t="s">
        <v>250</v>
      </c>
      <c r="C173" s="270" t="s">
        <v>125</v>
      </c>
      <c r="D173" s="271">
        <f>I176/1000</f>
        <v>1.084884</v>
      </c>
      <c r="E173" s="78"/>
      <c r="F173" s="79"/>
      <c r="G173" s="80">
        <f t="shared" ref="G173:G176" si="21">(D173*E173)+(D173*F173)</f>
        <v>0</v>
      </c>
      <c r="H173" s="38"/>
      <c r="I173" s="38"/>
      <c r="J173" s="38"/>
      <c r="K173" s="38"/>
      <c r="L173" s="38"/>
      <c r="S173" s="22">
        <f>2.95+1.6+14.3</f>
        <v>18.850000000000001</v>
      </c>
    </row>
    <row r="174" spans="1:19" x14ac:dyDescent="0.2">
      <c r="A174" s="274"/>
      <c r="B174" s="82" t="s">
        <v>206</v>
      </c>
      <c r="C174" s="76" t="s">
        <v>8</v>
      </c>
      <c r="D174" s="77">
        <v>98</v>
      </c>
      <c r="E174" s="78"/>
      <c r="F174" s="79"/>
      <c r="G174" s="80">
        <f t="shared" si="21"/>
        <v>0</v>
      </c>
      <c r="I174" s="31">
        <f>D174*1.58*6</f>
        <v>929.04</v>
      </c>
      <c r="J174" s="38"/>
      <c r="K174" s="38">
        <f>22.6*3+8.7*5+2.2*5</f>
        <v>122.30000000000001</v>
      </c>
      <c r="L174" s="38">
        <f>K174/0.15</f>
        <v>815.33333333333348</v>
      </c>
      <c r="M174" s="22">
        <f>L174/7</f>
        <v>116.4761904761905</v>
      </c>
      <c r="S174" s="22">
        <f>4.9</f>
        <v>4.9000000000000004</v>
      </c>
    </row>
    <row r="175" spans="1:19" x14ac:dyDescent="0.2">
      <c r="A175" s="274"/>
      <c r="B175" s="82" t="s">
        <v>209</v>
      </c>
      <c r="C175" s="76" t="s">
        <v>8</v>
      </c>
      <c r="D175" s="77">
        <v>117</v>
      </c>
      <c r="E175" s="78"/>
      <c r="F175" s="79"/>
      <c r="G175" s="80">
        <f t="shared" si="21"/>
        <v>0</v>
      </c>
      <c r="I175" s="31">
        <f>0.222*D175*6</f>
        <v>155.84399999999999</v>
      </c>
      <c r="J175" s="38"/>
      <c r="K175" s="38"/>
      <c r="L175" s="38"/>
      <c r="S175" s="22">
        <f>7.155</f>
        <v>7.1550000000000002</v>
      </c>
    </row>
    <row r="176" spans="1:19" x14ac:dyDescent="0.2">
      <c r="A176" s="274"/>
      <c r="B176" s="275" t="s">
        <v>14</v>
      </c>
      <c r="C176" s="276" t="s">
        <v>9</v>
      </c>
      <c r="D176" s="277">
        <f>D173*20</f>
        <v>21.697679999999998</v>
      </c>
      <c r="E176" s="78"/>
      <c r="F176" s="79"/>
      <c r="G176" s="80">
        <f t="shared" si="21"/>
        <v>0</v>
      </c>
      <c r="H176" s="38"/>
      <c r="I176" s="45">
        <f>SUM(I174:I175)</f>
        <v>1084.884</v>
      </c>
      <c r="J176" s="45"/>
      <c r="K176" s="38"/>
      <c r="L176" s="38"/>
      <c r="S176" s="22">
        <f>7.155</f>
        <v>7.1550000000000002</v>
      </c>
    </row>
    <row r="177" spans="1:13" x14ac:dyDescent="0.2">
      <c r="A177" s="274"/>
      <c r="B177" s="275"/>
      <c r="C177" s="276"/>
      <c r="D177" s="277"/>
      <c r="E177" s="78"/>
      <c r="F177" s="79"/>
      <c r="G177" s="80"/>
      <c r="H177" s="38"/>
      <c r="I177" s="45"/>
      <c r="J177" s="45"/>
      <c r="K177" s="38"/>
      <c r="L177" s="38"/>
    </row>
    <row r="178" spans="1:13" x14ac:dyDescent="0.2">
      <c r="A178" s="274"/>
      <c r="B178" s="275"/>
      <c r="C178" s="276"/>
      <c r="D178" s="277"/>
      <c r="E178" s="78"/>
      <c r="F178" s="79"/>
      <c r="G178" s="80"/>
      <c r="H178" s="38"/>
      <c r="I178" s="45"/>
      <c r="J178" s="45"/>
      <c r="K178" s="38"/>
      <c r="L178" s="38"/>
    </row>
    <row r="179" spans="1:13" x14ac:dyDescent="0.2">
      <c r="A179" s="274"/>
      <c r="B179" s="275"/>
      <c r="C179" s="276"/>
      <c r="D179" s="277"/>
      <c r="E179" s="78"/>
      <c r="F179" s="79"/>
      <c r="G179" s="80"/>
      <c r="H179" s="38"/>
      <c r="I179" s="45"/>
      <c r="J179" s="45"/>
      <c r="K179" s="38"/>
      <c r="L179" s="38"/>
    </row>
    <row r="180" spans="1:13" x14ac:dyDescent="0.2">
      <c r="A180" s="274"/>
      <c r="B180" s="275"/>
      <c r="C180" s="276"/>
      <c r="D180" s="277"/>
      <c r="E180" s="78"/>
      <c r="F180" s="79"/>
      <c r="G180" s="80"/>
      <c r="H180" s="38"/>
      <c r="I180" s="45"/>
      <c r="J180" s="45"/>
      <c r="K180" s="38"/>
      <c r="L180" s="38"/>
    </row>
    <row r="181" spans="1:13" ht="12.75" thickBot="1" x14ac:dyDescent="0.25">
      <c r="A181" s="368"/>
      <c r="B181" s="369"/>
      <c r="C181" s="370"/>
      <c r="D181" s="371"/>
      <c r="E181" s="355"/>
      <c r="F181" s="354"/>
      <c r="G181" s="372"/>
      <c r="H181" s="38"/>
      <c r="I181" s="45"/>
      <c r="J181" s="45"/>
      <c r="K181" s="38"/>
      <c r="L181" s="38"/>
    </row>
    <row r="182" spans="1:13" x14ac:dyDescent="0.2">
      <c r="A182" s="274"/>
      <c r="B182" s="275"/>
      <c r="C182" s="276"/>
      <c r="D182" s="277"/>
      <c r="E182" s="78"/>
      <c r="F182" s="79"/>
      <c r="G182" s="80"/>
      <c r="H182" s="38"/>
      <c r="I182" s="45"/>
      <c r="J182" s="45"/>
      <c r="K182" s="38"/>
      <c r="L182" s="38"/>
    </row>
    <row r="183" spans="1:13" ht="12.75" customHeight="1" x14ac:dyDescent="0.2">
      <c r="A183" s="67" t="s">
        <v>144</v>
      </c>
      <c r="B183" s="68" t="s">
        <v>187</v>
      </c>
      <c r="C183" s="69"/>
      <c r="D183" s="70"/>
      <c r="E183" s="71"/>
      <c r="F183" s="72"/>
      <c r="G183" s="73">
        <f>(D183*E183)+(D183*F183)</f>
        <v>0</v>
      </c>
    </row>
    <row r="184" spans="1:13" ht="12.75" customHeight="1" x14ac:dyDescent="0.2">
      <c r="A184" s="74" t="s">
        <v>171</v>
      </c>
      <c r="B184" s="75" t="s">
        <v>347</v>
      </c>
      <c r="C184" s="76"/>
      <c r="D184" s="77"/>
      <c r="E184" s="78"/>
      <c r="F184" s="79"/>
      <c r="G184" s="80">
        <f t="shared" ref="G184:G185" si="22">(D184*E184)+(D184*F184)</f>
        <v>0</v>
      </c>
    </row>
    <row r="185" spans="1:13" ht="51.75" customHeight="1" x14ac:dyDescent="0.2">
      <c r="A185" s="81"/>
      <c r="B185" s="82" t="s">
        <v>354</v>
      </c>
      <c r="C185" s="76" t="s">
        <v>131</v>
      </c>
      <c r="D185" s="77">
        <v>3.87</v>
      </c>
      <c r="E185" s="78"/>
      <c r="F185" s="79"/>
      <c r="G185" s="80">
        <f t="shared" si="22"/>
        <v>0</v>
      </c>
      <c r="I185" s="22">
        <f>19.325*0.2*0.2*2</f>
        <v>1.5460000000000003</v>
      </c>
      <c r="J185" s="22">
        <f>0.45*0.115*19.325*2</f>
        <v>2.0001375000000001</v>
      </c>
      <c r="K185" s="22">
        <f>14.2*0.15*0.15</f>
        <v>0.31949999999999995</v>
      </c>
      <c r="M185" s="22">
        <f>SUM(I185:L185)</f>
        <v>3.8656375000000005</v>
      </c>
    </row>
    <row r="186" spans="1:13" ht="12" customHeight="1" x14ac:dyDescent="0.2">
      <c r="A186" s="81"/>
      <c r="B186" s="82"/>
      <c r="C186" s="76"/>
      <c r="D186" s="77"/>
      <c r="E186" s="78"/>
      <c r="F186" s="79"/>
      <c r="G186" s="80"/>
    </row>
    <row r="187" spans="1:13" ht="13.5" customHeight="1" x14ac:dyDescent="0.2">
      <c r="A187" s="74" t="s">
        <v>172</v>
      </c>
      <c r="B187" s="75" t="s">
        <v>348</v>
      </c>
      <c r="C187" s="76"/>
      <c r="D187" s="77"/>
      <c r="E187" s="78"/>
      <c r="F187" s="79"/>
      <c r="G187" s="80">
        <f t="shared" ref="G187:G188" si="23">(D187*E187)+(D187*F187)</f>
        <v>0</v>
      </c>
    </row>
    <row r="188" spans="1:13" ht="64.5" customHeight="1" x14ac:dyDescent="0.2">
      <c r="A188" s="81"/>
      <c r="B188" s="82" t="s">
        <v>353</v>
      </c>
      <c r="C188" s="76" t="s">
        <v>131</v>
      </c>
      <c r="D188" s="77">
        <v>0.38</v>
      </c>
      <c r="E188" s="78"/>
      <c r="F188" s="79"/>
      <c r="G188" s="80">
        <f t="shared" si="23"/>
        <v>0</v>
      </c>
      <c r="I188" s="22">
        <f>2.975*5*0.2*0.1</f>
        <v>0.29750000000000004</v>
      </c>
      <c r="J188" s="22">
        <f>4.08*0.2*0.1</f>
        <v>8.1600000000000006E-2</v>
      </c>
      <c r="K188" s="22">
        <f>SUM(I188:J188)</f>
        <v>0.37910000000000005</v>
      </c>
    </row>
    <row r="189" spans="1:13" ht="12" customHeight="1" x14ac:dyDescent="0.2">
      <c r="A189" s="81"/>
      <c r="B189" s="82"/>
      <c r="C189" s="76"/>
      <c r="D189" s="77"/>
      <c r="E189" s="78"/>
      <c r="F189" s="79"/>
      <c r="G189" s="80"/>
    </row>
    <row r="190" spans="1:13" ht="13.5" customHeight="1" x14ac:dyDescent="0.2">
      <c r="A190" s="74" t="s">
        <v>173</v>
      </c>
      <c r="B190" s="75" t="s">
        <v>350</v>
      </c>
      <c r="C190" s="76"/>
      <c r="D190" s="77"/>
      <c r="E190" s="78"/>
      <c r="F190" s="79"/>
      <c r="G190" s="80">
        <f>(D190*E190)+(D190*F190)</f>
        <v>0</v>
      </c>
    </row>
    <row r="191" spans="1:13" ht="74.25" customHeight="1" x14ac:dyDescent="0.2">
      <c r="A191" s="81"/>
      <c r="B191" s="83" t="s">
        <v>351</v>
      </c>
      <c r="C191" s="76" t="s">
        <v>131</v>
      </c>
      <c r="D191" s="84">
        <v>1.6</v>
      </c>
      <c r="E191" s="85"/>
      <c r="F191" s="79"/>
      <c r="G191" s="80">
        <f t="shared" ref="G191" si="24">(D191*E191)+(D191*F191)</f>
        <v>0</v>
      </c>
    </row>
    <row r="192" spans="1:13" ht="12" customHeight="1" x14ac:dyDescent="0.2">
      <c r="A192" s="81"/>
      <c r="B192" s="82"/>
      <c r="C192" s="76"/>
      <c r="D192" s="77"/>
      <c r="E192" s="78"/>
      <c r="F192" s="79"/>
      <c r="G192" s="80"/>
    </row>
    <row r="193" spans="1:13" ht="14.25" customHeight="1" x14ac:dyDescent="0.2">
      <c r="A193" s="74" t="s">
        <v>349</v>
      </c>
      <c r="B193" s="75" t="s">
        <v>352</v>
      </c>
      <c r="C193" s="76"/>
      <c r="D193" s="77"/>
      <c r="E193" s="78"/>
      <c r="F193" s="79"/>
      <c r="G193" s="80">
        <f>(D193*E193)+(D193*F193)</f>
        <v>0</v>
      </c>
    </row>
    <row r="194" spans="1:13" ht="66" customHeight="1" x14ac:dyDescent="0.2">
      <c r="A194" s="81"/>
      <c r="B194" s="83" t="s">
        <v>355</v>
      </c>
      <c r="C194" s="76" t="s">
        <v>131</v>
      </c>
      <c r="D194" s="84">
        <v>0.2</v>
      </c>
      <c r="E194" s="85"/>
      <c r="F194" s="79"/>
      <c r="G194" s="80">
        <f t="shared" ref="G194" si="25">(D194*E194)+(D194*F194)</f>
        <v>0</v>
      </c>
      <c r="I194" s="22">
        <f>1.7*0.95*0.075</f>
        <v>0.121125</v>
      </c>
      <c r="J194" s="22">
        <f>0.2*0.2*1.7</f>
        <v>6.8000000000000005E-2</v>
      </c>
      <c r="K194" s="22">
        <f>SUM(I194:J194)</f>
        <v>0.18912499999999999</v>
      </c>
    </row>
    <row r="195" spans="1:13" ht="12" customHeight="1" x14ac:dyDescent="0.2">
      <c r="A195" s="81"/>
      <c r="B195" s="82"/>
      <c r="C195" s="76"/>
      <c r="D195" s="77"/>
      <c r="E195" s="78"/>
      <c r="F195" s="79"/>
      <c r="G195" s="80"/>
    </row>
    <row r="196" spans="1:13" x14ac:dyDescent="0.2">
      <c r="A196" s="107" t="s">
        <v>145</v>
      </c>
      <c r="B196" s="75" t="s">
        <v>226</v>
      </c>
      <c r="C196" s="76"/>
      <c r="D196" s="77"/>
      <c r="E196" s="78"/>
      <c r="F196" s="79"/>
      <c r="G196" s="80">
        <f t="shared" ref="G196:G199" si="26">(D196*E196)+(D196*F196)</f>
        <v>0</v>
      </c>
    </row>
    <row r="197" spans="1:13" ht="48" x14ac:dyDescent="0.2">
      <c r="A197" s="81" t="s">
        <v>61</v>
      </c>
      <c r="B197" s="82" t="s">
        <v>450</v>
      </c>
      <c r="C197" s="76" t="s">
        <v>132</v>
      </c>
      <c r="D197" s="77">
        <f>D73+D96+D269+D120+D121+D122+D123</f>
        <v>523.04</v>
      </c>
      <c r="E197" s="78"/>
      <c r="F197" s="79"/>
      <c r="G197" s="80">
        <f t="shared" si="26"/>
        <v>0</v>
      </c>
      <c r="J197" s="31"/>
    </row>
    <row r="198" spans="1:13" ht="36.75" customHeight="1" x14ac:dyDescent="0.2">
      <c r="A198" s="81" t="s">
        <v>323</v>
      </c>
      <c r="B198" s="82" t="s">
        <v>451</v>
      </c>
      <c r="C198" s="76" t="s">
        <v>15</v>
      </c>
      <c r="D198" s="77">
        <v>1</v>
      </c>
      <c r="E198" s="78"/>
      <c r="F198" s="79"/>
      <c r="G198" s="80">
        <f t="shared" si="26"/>
        <v>0</v>
      </c>
      <c r="I198" s="47"/>
      <c r="J198" s="47"/>
      <c r="K198" s="47"/>
      <c r="L198" s="47"/>
      <c r="M198" s="47"/>
    </row>
    <row r="199" spans="1:13" ht="48" x14ac:dyDescent="0.2">
      <c r="A199" s="81" t="s">
        <v>324</v>
      </c>
      <c r="B199" s="82" t="s">
        <v>452</v>
      </c>
      <c r="C199" s="76" t="s">
        <v>15</v>
      </c>
      <c r="D199" s="77">
        <v>1</v>
      </c>
      <c r="E199" s="78"/>
      <c r="F199" s="79"/>
      <c r="G199" s="80">
        <f t="shared" si="26"/>
        <v>0</v>
      </c>
      <c r="I199" s="47"/>
      <c r="J199" s="47"/>
      <c r="K199" s="47"/>
      <c r="L199" s="47"/>
      <c r="M199" s="47"/>
    </row>
    <row r="200" spans="1:13" x14ac:dyDescent="0.2">
      <c r="A200" s="113"/>
      <c r="B200" s="278"/>
      <c r="C200" s="109"/>
      <c r="D200" s="110"/>
      <c r="E200" s="78"/>
      <c r="F200" s="79"/>
      <c r="G200" s="80"/>
      <c r="I200" s="47"/>
      <c r="J200" s="47"/>
      <c r="K200" s="47"/>
      <c r="L200" s="47"/>
      <c r="M200" s="47"/>
    </row>
    <row r="201" spans="1:13" x14ac:dyDescent="0.2">
      <c r="A201" s="113"/>
      <c r="B201" s="278"/>
      <c r="C201" s="109"/>
      <c r="D201" s="110"/>
      <c r="E201" s="78"/>
      <c r="F201" s="79"/>
      <c r="G201" s="80"/>
      <c r="I201" s="47"/>
      <c r="J201" s="47"/>
      <c r="K201" s="47"/>
      <c r="L201" s="47"/>
      <c r="M201" s="47"/>
    </row>
    <row r="202" spans="1:13" x14ac:dyDescent="0.2">
      <c r="A202" s="113"/>
      <c r="B202" s="278"/>
      <c r="C202" s="109"/>
      <c r="D202" s="110"/>
      <c r="E202" s="78"/>
      <c r="F202" s="79"/>
      <c r="G202" s="80"/>
      <c r="I202" s="47"/>
      <c r="J202" s="47"/>
      <c r="K202" s="47"/>
      <c r="L202" s="47"/>
      <c r="M202" s="47"/>
    </row>
    <row r="203" spans="1:13" x14ac:dyDescent="0.2">
      <c r="A203" s="113"/>
      <c r="B203" s="278"/>
      <c r="C203" s="109"/>
      <c r="D203" s="110"/>
      <c r="E203" s="78"/>
      <c r="F203" s="79"/>
      <c r="G203" s="80"/>
      <c r="I203" s="47"/>
      <c r="J203" s="47"/>
      <c r="K203" s="47"/>
      <c r="L203" s="47"/>
      <c r="M203" s="47"/>
    </row>
    <row r="204" spans="1:13" x14ac:dyDescent="0.2">
      <c r="A204" s="113"/>
      <c r="B204" s="278"/>
      <c r="C204" s="109"/>
      <c r="D204" s="110"/>
      <c r="E204" s="78"/>
      <c r="F204" s="79"/>
      <c r="G204" s="80"/>
      <c r="I204" s="47"/>
      <c r="J204" s="47"/>
      <c r="K204" s="47"/>
      <c r="L204" s="47"/>
      <c r="M204" s="47"/>
    </row>
    <row r="205" spans="1:13" x14ac:dyDescent="0.2">
      <c r="A205" s="113"/>
      <c r="B205" s="278"/>
      <c r="C205" s="109"/>
      <c r="D205" s="110"/>
      <c r="E205" s="78"/>
      <c r="F205" s="79"/>
      <c r="G205" s="80"/>
      <c r="I205" s="47"/>
      <c r="J205" s="47"/>
      <c r="K205" s="47"/>
      <c r="L205" s="47"/>
      <c r="M205" s="47"/>
    </row>
    <row r="206" spans="1:13" x14ac:dyDescent="0.2">
      <c r="A206" s="113"/>
      <c r="B206" s="278"/>
      <c r="C206" s="109"/>
      <c r="D206" s="110"/>
      <c r="E206" s="78"/>
      <c r="F206" s="79"/>
      <c r="G206" s="80"/>
      <c r="I206" s="47"/>
      <c r="J206" s="47"/>
      <c r="K206" s="47"/>
      <c r="L206" s="47"/>
      <c r="M206" s="47"/>
    </row>
    <row r="207" spans="1:13" x14ac:dyDescent="0.2">
      <c r="A207" s="113"/>
      <c r="B207" s="278"/>
      <c r="C207" s="109"/>
      <c r="D207" s="110"/>
      <c r="E207" s="78"/>
      <c r="F207" s="79"/>
      <c r="G207" s="80"/>
      <c r="I207" s="47"/>
      <c r="J207" s="47"/>
      <c r="K207" s="47"/>
      <c r="L207" s="47"/>
      <c r="M207" s="47"/>
    </row>
    <row r="208" spans="1:13" x14ac:dyDescent="0.2">
      <c r="A208" s="113"/>
      <c r="B208" s="278"/>
      <c r="C208" s="109"/>
      <c r="D208" s="110"/>
      <c r="E208" s="78"/>
      <c r="F208" s="79"/>
      <c r="G208" s="80"/>
      <c r="I208" s="47"/>
      <c r="J208" s="47"/>
      <c r="K208" s="47"/>
      <c r="L208" s="47"/>
      <c r="M208" s="47"/>
    </row>
    <row r="209" spans="1:13" x14ac:dyDescent="0.2">
      <c r="A209" s="113"/>
      <c r="B209" s="278"/>
      <c r="C209" s="109"/>
      <c r="D209" s="110"/>
      <c r="E209" s="78"/>
      <c r="F209" s="79"/>
      <c r="G209" s="80"/>
      <c r="I209" s="47"/>
      <c r="J209" s="47"/>
      <c r="K209" s="47"/>
      <c r="L209" s="47"/>
      <c r="M209" s="47"/>
    </row>
    <row r="210" spans="1:13" x14ac:dyDescent="0.2">
      <c r="A210" s="113"/>
      <c r="B210" s="278"/>
      <c r="C210" s="109"/>
      <c r="D210" s="110"/>
      <c r="E210" s="78"/>
      <c r="F210" s="79"/>
      <c r="G210" s="80"/>
      <c r="I210" s="47"/>
      <c r="J210" s="47"/>
      <c r="K210" s="47"/>
      <c r="L210" s="47"/>
      <c r="M210" s="47"/>
    </row>
    <row r="211" spans="1:13" x14ac:dyDescent="0.2">
      <c r="A211" s="113"/>
      <c r="B211" s="278"/>
      <c r="C211" s="109"/>
      <c r="D211" s="110"/>
      <c r="E211" s="78"/>
      <c r="F211" s="79"/>
      <c r="G211" s="80"/>
      <c r="I211" s="47"/>
      <c r="J211" s="47"/>
      <c r="K211" s="47"/>
      <c r="L211" s="47"/>
      <c r="M211" s="47"/>
    </row>
    <row r="212" spans="1:13" x14ac:dyDescent="0.2">
      <c r="A212" s="113"/>
      <c r="B212" s="278"/>
      <c r="C212" s="109"/>
      <c r="D212" s="110"/>
      <c r="E212" s="78"/>
      <c r="F212" s="79"/>
      <c r="G212" s="80"/>
      <c r="I212" s="47"/>
      <c r="J212" s="47"/>
      <c r="K212" s="47"/>
      <c r="L212" s="47"/>
      <c r="M212" s="47"/>
    </row>
    <row r="213" spans="1:13" ht="12.75" thickBot="1" x14ac:dyDescent="0.25">
      <c r="A213" s="113"/>
      <c r="B213" s="278"/>
      <c r="C213" s="109"/>
      <c r="D213" s="110"/>
      <c r="E213" s="78"/>
      <c r="F213" s="79"/>
      <c r="G213" s="80"/>
      <c r="I213" s="47"/>
      <c r="J213" s="47"/>
      <c r="K213" s="47"/>
      <c r="L213" s="47"/>
      <c r="M213" s="47"/>
    </row>
    <row r="214" spans="1:13" x14ac:dyDescent="0.2">
      <c r="A214" s="189"/>
      <c r="B214" s="357" t="s">
        <v>140</v>
      </c>
      <c r="C214" s="366"/>
      <c r="D214" s="359"/>
      <c r="E214" s="193"/>
      <c r="F214" s="373"/>
      <c r="G214" s="374"/>
    </row>
    <row r="215" spans="1:13" ht="12.75" thickBot="1" x14ac:dyDescent="0.25">
      <c r="A215" s="360"/>
      <c r="B215" s="352" t="s">
        <v>162</v>
      </c>
      <c r="C215" s="367"/>
      <c r="D215" s="362"/>
      <c r="E215" s="363"/>
      <c r="F215" s="354"/>
      <c r="G215" s="356">
        <f>SUM(G96:G199)</f>
        <v>0</v>
      </c>
    </row>
    <row r="216" spans="1:13" x14ac:dyDescent="0.2">
      <c r="A216" s="189"/>
      <c r="B216" s="389" t="s">
        <v>98</v>
      </c>
      <c r="C216" s="381"/>
      <c r="D216" s="382"/>
      <c r="E216" s="383"/>
      <c r="F216" s="384"/>
      <c r="G216" s="379"/>
    </row>
    <row r="217" spans="1:13" x14ac:dyDescent="0.2">
      <c r="A217" s="176"/>
      <c r="B217" s="390" t="s">
        <v>99</v>
      </c>
      <c r="C217" s="387"/>
      <c r="D217" s="56"/>
      <c r="E217" s="388"/>
      <c r="F217" s="86"/>
      <c r="G217" s="375"/>
    </row>
    <row r="218" spans="1:13" x14ac:dyDescent="0.2">
      <c r="A218" s="137">
        <v>4.0999999999999996</v>
      </c>
      <c r="B218" s="386" t="s">
        <v>39</v>
      </c>
      <c r="C218" s="387"/>
      <c r="D218" s="56"/>
      <c r="E218" s="388"/>
      <c r="F218" s="86"/>
      <c r="G218" s="375"/>
    </row>
    <row r="219" spans="1:13" ht="39" customHeight="1" x14ac:dyDescent="0.2">
      <c r="A219" s="176"/>
      <c r="B219" s="451" t="s">
        <v>189</v>
      </c>
      <c r="C219" s="452"/>
      <c r="D219" s="452"/>
      <c r="E219" s="452"/>
      <c r="F219" s="452"/>
      <c r="G219" s="376"/>
    </row>
    <row r="220" spans="1:13" ht="42" customHeight="1" x14ac:dyDescent="0.2">
      <c r="A220" s="176"/>
      <c r="B220" s="451" t="s">
        <v>188</v>
      </c>
      <c r="C220" s="452"/>
      <c r="D220" s="452"/>
      <c r="E220" s="452"/>
      <c r="F220" s="452"/>
      <c r="G220" s="377"/>
    </row>
    <row r="221" spans="1:13" ht="28.5" customHeight="1" thickBot="1" x14ac:dyDescent="0.25">
      <c r="A221" s="360"/>
      <c r="B221" s="449" t="s">
        <v>229</v>
      </c>
      <c r="C221" s="450"/>
      <c r="D221" s="450"/>
      <c r="E221" s="450"/>
      <c r="F221" s="385"/>
      <c r="G221" s="380"/>
    </row>
    <row r="222" spans="1:13" x14ac:dyDescent="0.2">
      <c r="A222" s="107" t="s">
        <v>126</v>
      </c>
      <c r="B222" s="282" t="s">
        <v>128</v>
      </c>
      <c r="C222" s="76"/>
      <c r="D222" s="77"/>
      <c r="E222" s="78"/>
      <c r="F222" s="79"/>
      <c r="G222" s="80"/>
    </row>
    <row r="223" spans="1:13" x14ac:dyDescent="0.2">
      <c r="A223" s="67" t="s">
        <v>141</v>
      </c>
      <c r="B223" s="265" t="s">
        <v>364</v>
      </c>
      <c r="C223" s="256"/>
      <c r="D223" s="257"/>
      <c r="E223" s="258"/>
      <c r="F223" s="259"/>
      <c r="G223" s="260"/>
      <c r="I223" s="31"/>
    </row>
    <row r="224" spans="1:13" x14ac:dyDescent="0.2">
      <c r="A224" s="107"/>
      <c r="B224" s="108" t="s">
        <v>183</v>
      </c>
      <c r="C224" s="109"/>
      <c r="D224" s="110"/>
      <c r="E224" s="111"/>
      <c r="F224" s="112"/>
      <c r="G224" s="80"/>
    </row>
    <row r="225" spans="1:13" ht="24" x14ac:dyDescent="0.2">
      <c r="A225" s="113"/>
      <c r="B225" s="82" t="s">
        <v>252</v>
      </c>
      <c r="C225" s="76" t="s">
        <v>132</v>
      </c>
      <c r="D225" s="77">
        <v>62.06</v>
      </c>
      <c r="E225" s="78"/>
      <c r="F225" s="79"/>
      <c r="G225" s="80">
        <f t="shared" ref="G225" si="27">(D225*E225)+(D225*F225)</f>
        <v>0</v>
      </c>
      <c r="I225" s="22">
        <f>3*14+4.05*10</f>
        <v>82.5</v>
      </c>
      <c r="J225" s="22">
        <f>I225*0.525</f>
        <v>43.3125</v>
      </c>
      <c r="K225" s="22">
        <f>3*7+1.8*5</f>
        <v>30</v>
      </c>
      <c r="L225" s="22">
        <f>K225*0.625</f>
        <v>18.75</v>
      </c>
      <c r="M225" s="22">
        <f>J225+L225</f>
        <v>62.0625</v>
      </c>
    </row>
    <row r="226" spans="1:13" x14ac:dyDescent="0.2">
      <c r="A226" s="113"/>
      <c r="B226" s="82"/>
      <c r="C226" s="76"/>
      <c r="D226" s="77"/>
      <c r="E226" s="78"/>
      <c r="F226" s="79"/>
      <c r="G226" s="80"/>
    </row>
    <row r="227" spans="1:13" x14ac:dyDescent="0.2">
      <c r="A227" s="67" t="s">
        <v>142</v>
      </c>
      <c r="B227" s="265" t="s">
        <v>62</v>
      </c>
      <c r="C227" s="256"/>
      <c r="D227" s="257"/>
      <c r="E227" s="258"/>
      <c r="F227" s="259"/>
      <c r="G227" s="260"/>
    </row>
    <row r="228" spans="1:13" x14ac:dyDescent="0.2">
      <c r="A228" s="107" t="s">
        <v>155</v>
      </c>
      <c r="B228" s="108" t="s">
        <v>284</v>
      </c>
      <c r="C228" s="109"/>
      <c r="D228" s="110"/>
      <c r="E228" s="111"/>
      <c r="F228" s="112"/>
      <c r="G228" s="80">
        <f t="shared" ref="G228:G229" si="28">(D228*E228)+(D228*F228)</f>
        <v>0</v>
      </c>
    </row>
    <row r="229" spans="1:13" ht="24" x14ac:dyDescent="0.2">
      <c r="A229" s="113"/>
      <c r="B229" s="82" t="s">
        <v>309</v>
      </c>
      <c r="C229" s="76" t="s">
        <v>132</v>
      </c>
      <c r="D229" s="77">
        <v>136.4</v>
      </c>
      <c r="E229" s="78"/>
      <c r="F229" s="79"/>
      <c r="G229" s="80">
        <f t="shared" si="28"/>
        <v>0</v>
      </c>
      <c r="I229" s="22">
        <f>3*12+8.1*2+1.35</f>
        <v>53.550000000000004</v>
      </c>
      <c r="J229" s="22">
        <f>I229*3.675</f>
        <v>196.79625000000001</v>
      </c>
      <c r="K229" s="22">
        <v>60.41</v>
      </c>
      <c r="L229" s="22">
        <f>J229-K229</f>
        <v>136.38625000000002</v>
      </c>
    </row>
    <row r="230" spans="1:13" ht="28.5" customHeight="1" x14ac:dyDescent="0.2">
      <c r="A230" s="113"/>
      <c r="B230" s="82" t="s">
        <v>310</v>
      </c>
      <c r="C230" s="76" t="s">
        <v>132</v>
      </c>
      <c r="D230" s="77">
        <v>4.05</v>
      </c>
      <c r="E230" s="78"/>
      <c r="F230" s="79"/>
      <c r="G230" s="80">
        <f t="shared" ref="G230:G233" si="29">(D230*E230)+(D230*F230)</f>
        <v>0</v>
      </c>
      <c r="I230" s="22">
        <f>1.8*7*0.45</f>
        <v>5.67</v>
      </c>
    </row>
    <row r="231" spans="1:13" ht="15" customHeight="1" x14ac:dyDescent="0.2">
      <c r="A231" s="107" t="s">
        <v>156</v>
      </c>
      <c r="B231" s="108" t="s">
        <v>361</v>
      </c>
      <c r="C231" s="109"/>
      <c r="D231" s="110"/>
      <c r="E231" s="111"/>
      <c r="F231" s="112"/>
      <c r="G231" s="80">
        <f t="shared" si="29"/>
        <v>0</v>
      </c>
    </row>
    <row r="232" spans="1:13" ht="28.5" customHeight="1" x14ac:dyDescent="0.2">
      <c r="A232" s="81" t="s">
        <v>171</v>
      </c>
      <c r="B232" s="82" t="s">
        <v>362</v>
      </c>
      <c r="C232" s="76" t="s">
        <v>132</v>
      </c>
      <c r="D232" s="77">
        <v>111.78</v>
      </c>
      <c r="E232" s="78"/>
      <c r="F232" s="79"/>
      <c r="G232" s="80">
        <f t="shared" si="29"/>
        <v>0</v>
      </c>
      <c r="I232" s="22">
        <f>4.05*8</f>
        <v>32.4</v>
      </c>
      <c r="J232" s="22">
        <f>I232*3.45</f>
        <v>111.78</v>
      </c>
    </row>
    <row r="233" spans="1:13" ht="14.25" customHeight="1" x14ac:dyDescent="0.2">
      <c r="A233" s="113" t="s">
        <v>172</v>
      </c>
      <c r="B233" s="114" t="s">
        <v>363</v>
      </c>
      <c r="C233" s="76" t="s">
        <v>132</v>
      </c>
      <c r="D233" s="77">
        <v>46.075000000000003</v>
      </c>
      <c r="E233" s="78"/>
      <c r="F233" s="79"/>
      <c r="G233" s="80">
        <f t="shared" si="29"/>
        <v>0</v>
      </c>
      <c r="I233" s="22">
        <f>3.45+2.75+1.55*5</f>
        <v>13.95</v>
      </c>
      <c r="J233" s="22">
        <f>I233*3.75</f>
        <v>52.3125</v>
      </c>
      <c r="K233" s="22">
        <f>0.78*2*4</f>
        <v>6.24</v>
      </c>
      <c r="L233" s="22">
        <f>J233-K233</f>
        <v>46.072499999999998</v>
      </c>
    </row>
    <row r="234" spans="1:13" ht="14.25" customHeight="1" x14ac:dyDescent="0.2">
      <c r="A234" s="113"/>
      <c r="B234" s="114"/>
      <c r="C234" s="76"/>
      <c r="D234" s="77"/>
      <c r="E234" s="78"/>
      <c r="F234" s="79"/>
      <c r="G234" s="80"/>
    </row>
    <row r="235" spans="1:13" ht="12" customHeight="1" x14ac:dyDescent="0.2">
      <c r="A235" s="67" t="s">
        <v>53</v>
      </c>
      <c r="B235" s="265" t="s">
        <v>230</v>
      </c>
      <c r="C235" s="256"/>
      <c r="D235" s="257"/>
      <c r="E235" s="258"/>
      <c r="F235" s="259"/>
      <c r="G235" s="260"/>
    </row>
    <row r="236" spans="1:13" ht="14.25" customHeight="1" x14ac:dyDescent="0.2">
      <c r="A236" s="107" t="s">
        <v>155</v>
      </c>
      <c r="B236" s="108" t="s">
        <v>282</v>
      </c>
      <c r="C236" s="109"/>
      <c r="D236" s="110"/>
      <c r="E236" s="111"/>
      <c r="F236" s="112"/>
      <c r="G236" s="80">
        <f t="shared" ref="G236:G237" si="30">(D236*E236)+(D236*F236)</f>
        <v>0</v>
      </c>
    </row>
    <row r="237" spans="1:13" ht="38.25" customHeight="1" x14ac:dyDescent="0.2">
      <c r="A237" s="113"/>
      <c r="B237" s="82" t="s">
        <v>283</v>
      </c>
      <c r="C237" s="76" t="s">
        <v>132</v>
      </c>
      <c r="D237" s="77">
        <v>18.97</v>
      </c>
      <c r="E237" s="78"/>
      <c r="F237" s="79"/>
      <c r="G237" s="80">
        <f t="shared" si="30"/>
        <v>0</v>
      </c>
      <c r="I237" s="22">
        <f>4.35*2.18*2</f>
        <v>18.966000000000001</v>
      </c>
    </row>
    <row r="238" spans="1:13" ht="12" customHeight="1" x14ac:dyDescent="0.2">
      <c r="A238" s="113"/>
      <c r="B238" s="82"/>
      <c r="C238" s="76"/>
      <c r="D238" s="77"/>
      <c r="E238" s="78"/>
      <c r="F238" s="79"/>
      <c r="G238" s="80"/>
    </row>
    <row r="239" spans="1:13" ht="12" customHeight="1" x14ac:dyDescent="0.2">
      <c r="A239" s="113"/>
      <c r="B239" s="82"/>
      <c r="C239" s="76"/>
      <c r="D239" s="77"/>
      <c r="E239" s="78"/>
      <c r="F239" s="79"/>
      <c r="G239" s="80"/>
    </row>
    <row r="240" spans="1:13" ht="12" customHeight="1" x14ac:dyDescent="0.2">
      <c r="A240" s="113"/>
      <c r="B240" s="82"/>
      <c r="C240" s="76"/>
      <c r="D240" s="77"/>
      <c r="E240" s="78"/>
      <c r="F240" s="79"/>
      <c r="G240" s="80"/>
    </row>
    <row r="241" spans="1:7" ht="12" customHeight="1" x14ac:dyDescent="0.2">
      <c r="A241" s="113"/>
      <c r="B241" s="82"/>
      <c r="C241" s="76"/>
      <c r="D241" s="77"/>
      <c r="E241" s="78"/>
      <c r="F241" s="79"/>
      <c r="G241" s="80"/>
    </row>
    <row r="242" spans="1:7" ht="12" customHeight="1" x14ac:dyDescent="0.2">
      <c r="A242" s="113"/>
      <c r="B242" s="82"/>
      <c r="C242" s="76"/>
      <c r="D242" s="77"/>
      <c r="E242" s="78"/>
      <c r="F242" s="79"/>
      <c r="G242" s="80"/>
    </row>
    <row r="243" spans="1:7" ht="12" customHeight="1" x14ac:dyDescent="0.2">
      <c r="A243" s="113"/>
      <c r="B243" s="82"/>
      <c r="C243" s="76"/>
      <c r="D243" s="77"/>
      <c r="E243" s="78"/>
      <c r="F243" s="79"/>
      <c r="G243" s="80"/>
    </row>
    <row r="244" spans="1:7" ht="12" customHeight="1" x14ac:dyDescent="0.2">
      <c r="A244" s="113"/>
      <c r="B244" s="82"/>
      <c r="C244" s="76"/>
      <c r="D244" s="77"/>
      <c r="E244" s="78"/>
      <c r="F244" s="79"/>
      <c r="G244" s="80"/>
    </row>
    <row r="245" spans="1:7" ht="12" customHeight="1" x14ac:dyDescent="0.2">
      <c r="A245" s="113"/>
      <c r="B245" s="82"/>
      <c r="C245" s="76"/>
      <c r="D245" s="77"/>
      <c r="E245" s="78"/>
      <c r="F245" s="79"/>
      <c r="G245" s="80"/>
    </row>
    <row r="246" spans="1:7" ht="12" customHeight="1" x14ac:dyDescent="0.2">
      <c r="A246" s="113"/>
      <c r="B246" s="82"/>
      <c r="C246" s="76"/>
      <c r="D246" s="77"/>
      <c r="E246" s="78"/>
      <c r="F246" s="79"/>
      <c r="G246" s="80"/>
    </row>
    <row r="247" spans="1:7" ht="12" customHeight="1" x14ac:dyDescent="0.2">
      <c r="A247" s="113"/>
      <c r="B247" s="82"/>
      <c r="C247" s="76"/>
      <c r="D247" s="77"/>
      <c r="E247" s="78"/>
      <c r="F247" s="79"/>
      <c r="G247" s="80"/>
    </row>
    <row r="248" spans="1:7" ht="12" customHeight="1" x14ac:dyDescent="0.2">
      <c r="A248" s="113"/>
      <c r="B248" s="82"/>
      <c r="C248" s="76"/>
      <c r="D248" s="77"/>
      <c r="E248" s="78"/>
      <c r="F248" s="79"/>
      <c r="G248" s="80"/>
    </row>
    <row r="249" spans="1:7" ht="12" customHeight="1" x14ac:dyDescent="0.2">
      <c r="A249" s="113"/>
      <c r="B249" s="82"/>
      <c r="C249" s="76"/>
      <c r="D249" s="77"/>
      <c r="E249" s="78"/>
      <c r="F249" s="79"/>
      <c r="G249" s="80"/>
    </row>
    <row r="250" spans="1:7" ht="12" customHeight="1" x14ac:dyDescent="0.2">
      <c r="A250" s="113"/>
      <c r="B250" s="82"/>
      <c r="C250" s="76"/>
      <c r="D250" s="77"/>
      <c r="E250" s="78"/>
      <c r="F250" s="79"/>
      <c r="G250" s="80"/>
    </row>
    <row r="251" spans="1:7" ht="12" customHeight="1" x14ac:dyDescent="0.2">
      <c r="A251" s="113"/>
      <c r="B251" s="82"/>
      <c r="C251" s="76"/>
      <c r="D251" s="77"/>
      <c r="E251" s="78"/>
      <c r="F251" s="79"/>
      <c r="G251" s="80"/>
    </row>
    <row r="252" spans="1:7" ht="12" customHeight="1" x14ac:dyDescent="0.2">
      <c r="A252" s="113"/>
      <c r="B252" s="82"/>
      <c r="C252" s="76"/>
      <c r="D252" s="77"/>
      <c r="E252" s="78"/>
      <c r="F252" s="79"/>
      <c r="G252" s="80"/>
    </row>
    <row r="253" spans="1:7" ht="12" customHeight="1" x14ac:dyDescent="0.2">
      <c r="A253" s="113"/>
      <c r="B253" s="82"/>
      <c r="C253" s="76"/>
      <c r="D253" s="77"/>
      <c r="E253" s="78"/>
      <c r="F253" s="79"/>
      <c r="G253" s="80"/>
    </row>
    <row r="254" spans="1:7" ht="12" customHeight="1" x14ac:dyDescent="0.2">
      <c r="A254" s="113"/>
      <c r="B254" s="82"/>
      <c r="C254" s="76"/>
      <c r="D254" s="77"/>
      <c r="E254" s="78"/>
      <c r="F254" s="79"/>
      <c r="G254" s="80"/>
    </row>
    <row r="255" spans="1:7" ht="12" customHeight="1" x14ac:dyDescent="0.2">
      <c r="A255" s="113"/>
      <c r="B255" s="82"/>
      <c r="C255" s="76"/>
      <c r="D255" s="77"/>
      <c r="E255" s="78"/>
      <c r="F255" s="79"/>
      <c r="G255" s="80"/>
    </row>
    <row r="256" spans="1:7" ht="12" customHeight="1" x14ac:dyDescent="0.2">
      <c r="A256" s="113"/>
      <c r="B256" s="82"/>
      <c r="C256" s="76"/>
      <c r="D256" s="77"/>
      <c r="E256" s="78"/>
      <c r="F256" s="79"/>
      <c r="G256" s="80"/>
    </row>
    <row r="257" spans="1:19" ht="12" customHeight="1" x14ac:dyDescent="0.2">
      <c r="A257" s="113"/>
      <c r="B257" s="82"/>
      <c r="C257" s="76"/>
      <c r="D257" s="77"/>
      <c r="E257" s="78"/>
      <c r="F257" s="79"/>
      <c r="G257" s="80"/>
    </row>
    <row r="258" spans="1:19" ht="12" customHeight="1" x14ac:dyDescent="0.2">
      <c r="A258" s="113"/>
      <c r="B258" s="82"/>
      <c r="C258" s="76"/>
      <c r="D258" s="77"/>
      <c r="E258" s="78"/>
      <c r="F258" s="79"/>
      <c r="G258" s="80"/>
    </row>
    <row r="259" spans="1:19" ht="12" customHeight="1" x14ac:dyDescent="0.2">
      <c r="A259" s="113"/>
      <c r="B259" s="82"/>
      <c r="C259" s="76"/>
      <c r="D259" s="77"/>
      <c r="E259" s="78"/>
      <c r="F259" s="79"/>
      <c r="G259" s="80"/>
    </row>
    <row r="260" spans="1:19" ht="12" customHeight="1" x14ac:dyDescent="0.2">
      <c r="A260" s="113"/>
      <c r="B260" s="82"/>
      <c r="C260" s="76"/>
      <c r="D260" s="77"/>
      <c r="E260" s="78"/>
      <c r="F260" s="79"/>
      <c r="G260" s="80"/>
    </row>
    <row r="261" spans="1:19" ht="12" customHeight="1" thickBot="1" x14ac:dyDescent="0.25">
      <c r="A261" s="391"/>
      <c r="B261" s="392"/>
      <c r="C261" s="353"/>
      <c r="D261" s="393"/>
      <c r="E261" s="355"/>
      <c r="F261" s="354"/>
      <c r="G261" s="372"/>
    </row>
    <row r="262" spans="1:19" ht="12" customHeight="1" x14ac:dyDescent="0.2">
      <c r="A262" s="113"/>
      <c r="B262" s="82"/>
      <c r="C262" s="76"/>
      <c r="D262" s="77"/>
      <c r="E262" s="78"/>
      <c r="F262" s="79"/>
      <c r="G262" s="80"/>
    </row>
    <row r="263" spans="1:19" ht="12" customHeight="1" x14ac:dyDescent="0.2">
      <c r="A263" s="243">
        <v>4.3</v>
      </c>
      <c r="B263" s="283" t="s">
        <v>100</v>
      </c>
      <c r="C263" s="255"/>
      <c r="D263" s="246"/>
      <c r="E263" s="247"/>
      <c r="F263" s="246"/>
      <c r="G263" s="284"/>
      <c r="K263" s="31"/>
    </row>
    <row r="264" spans="1:19" ht="69.75" customHeight="1" x14ac:dyDescent="0.2">
      <c r="A264" s="176"/>
      <c r="B264" s="443" t="s">
        <v>184</v>
      </c>
      <c r="C264" s="443"/>
      <c r="D264" s="443"/>
      <c r="E264" s="443"/>
      <c r="F264" s="138"/>
      <c r="G264" s="280"/>
    </row>
    <row r="265" spans="1:19" ht="31.5" customHeight="1" x14ac:dyDescent="0.2">
      <c r="A265" s="176"/>
      <c r="B265" s="443" t="s">
        <v>149</v>
      </c>
      <c r="C265" s="443"/>
      <c r="D265" s="443"/>
      <c r="E265" s="443"/>
      <c r="F265" s="281"/>
      <c r="G265" s="280"/>
    </row>
    <row r="266" spans="1:19" ht="30" customHeight="1" x14ac:dyDescent="0.2">
      <c r="A266" s="176"/>
      <c r="B266" s="444" t="s">
        <v>228</v>
      </c>
      <c r="C266" s="444"/>
      <c r="D266" s="444"/>
      <c r="E266" s="444"/>
      <c r="F266" s="281"/>
      <c r="G266" s="280"/>
    </row>
    <row r="267" spans="1:19" x14ac:dyDescent="0.2">
      <c r="A267" s="67" t="s">
        <v>141</v>
      </c>
      <c r="B267" s="265" t="s">
        <v>364</v>
      </c>
      <c r="C267" s="256"/>
      <c r="D267" s="257"/>
      <c r="E267" s="258"/>
      <c r="F267" s="259"/>
      <c r="G267" s="260"/>
    </row>
    <row r="268" spans="1:19" x14ac:dyDescent="0.2">
      <c r="A268" s="113" t="s">
        <v>155</v>
      </c>
      <c r="B268" s="282" t="s">
        <v>224</v>
      </c>
      <c r="C268" s="109"/>
      <c r="D268" s="110"/>
      <c r="E268" s="111"/>
      <c r="F268" s="112"/>
      <c r="G268" s="80"/>
    </row>
    <row r="269" spans="1:19" ht="24" x14ac:dyDescent="0.2">
      <c r="A269" s="113"/>
      <c r="B269" s="82" t="s">
        <v>365</v>
      </c>
      <c r="C269" s="76" t="s">
        <v>132</v>
      </c>
      <c r="D269" s="77">
        <v>114.7</v>
      </c>
      <c r="E269" s="78"/>
      <c r="F269" s="79"/>
      <c r="G269" s="80">
        <f t="shared" ref="G269" si="31">(D269*E269)+(D269*F269)</f>
        <v>0</v>
      </c>
      <c r="I269" s="22">
        <f>22.6*2+21*2+8.7*2+8.3*8</f>
        <v>171</v>
      </c>
      <c r="J269" s="22">
        <f>I269*0.525</f>
        <v>89.775000000000006</v>
      </c>
      <c r="K269" s="22">
        <f>22.6+21+2.2*2+1.8*8</f>
        <v>62.4</v>
      </c>
      <c r="L269" s="22">
        <f>K269*0.625</f>
        <v>39</v>
      </c>
      <c r="M269" s="22">
        <f>L269+J269</f>
        <v>128.77500000000001</v>
      </c>
      <c r="N269" s="22">
        <f>22.6*2+8.7*2</f>
        <v>62.6</v>
      </c>
      <c r="O269" s="22">
        <f>N269*0.225</f>
        <v>14.085000000000001</v>
      </c>
      <c r="P269" s="22">
        <f>M269-O269</f>
        <v>114.69</v>
      </c>
    </row>
    <row r="270" spans="1:19" x14ac:dyDescent="0.2">
      <c r="A270" s="67" t="s">
        <v>142</v>
      </c>
      <c r="B270" s="265" t="s">
        <v>62</v>
      </c>
      <c r="C270" s="256"/>
      <c r="D270" s="257"/>
      <c r="E270" s="258"/>
      <c r="F270" s="259"/>
      <c r="G270" s="260"/>
    </row>
    <row r="271" spans="1:19" s="48" customFormat="1" ht="15" customHeight="1" x14ac:dyDescent="0.2">
      <c r="A271" s="107" t="s">
        <v>155</v>
      </c>
      <c r="B271" s="108" t="s">
        <v>222</v>
      </c>
      <c r="C271" s="109"/>
      <c r="D271" s="110"/>
      <c r="E271" s="111"/>
      <c r="F271" s="286"/>
      <c r="G271" s="80">
        <f t="shared" ref="G271:G272" si="32">(D271*E271)+(D271*F271)</f>
        <v>0</v>
      </c>
      <c r="O271" s="22"/>
      <c r="P271" s="22"/>
      <c r="Q271" s="22"/>
      <c r="R271" s="22"/>
      <c r="S271" s="22"/>
    </row>
    <row r="272" spans="1:19" ht="13.5" x14ac:dyDescent="0.2">
      <c r="A272" s="113"/>
      <c r="B272" s="114" t="s">
        <v>366</v>
      </c>
      <c r="C272" s="76" t="s">
        <v>132</v>
      </c>
      <c r="D272" s="77">
        <v>258.52999999999997</v>
      </c>
      <c r="E272" s="78"/>
      <c r="F272" s="79"/>
      <c r="G272" s="80">
        <f t="shared" si="32"/>
        <v>0</v>
      </c>
      <c r="I272" s="22">
        <f>26.2*2+8.7*2</f>
        <v>69.8</v>
      </c>
      <c r="J272" s="22">
        <f>I272*4.075</f>
        <v>284.435</v>
      </c>
      <c r="K272" s="22">
        <v>60.41</v>
      </c>
      <c r="L272" s="22">
        <f>J272-K272</f>
        <v>224.02500000000001</v>
      </c>
      <c r="M272" s="22">
        <f>2.55*0.8*8</f>
        <v>16.32</v>
      </c>
      <c r="N272" s="22">
        <f>28.6*0.8</f>
        <v>22.880000000000003</v>
      </c>
      <c r="O272" s="22">
        <f>SUM(L272:N272)</f>
        <v>263.22500000000002</v>
      </c>
      <c r="P272" s="22">
        <f>3*4.075</f>
        <v>12.225000000000001</v>
      </c>
      <c r="Q272" s="22">
        <f>O272-P272</f>
        <v>251.00000000000003</v>
      </c>
    </row>
    <row r="273" spans="1:17" x14ac:dyDescent="0.2">
      <c r="A273" s="74" t="s">
        <v>156</v>
      </c>
      <c r="B273" s="278" t="s">
        <v>223</v>
      </c>
      <c r="C273" s="109"/>
      <c r="D273" s="110"/>
      <c r="E273" s="111"/>
      <c r="F273" s="112"/>
      <c r="G273" s="80">
        <f t="shared" ref="G273:G274" si="33">(D273*E273)+(D273*F273)</f>
        <v>0</v>
      </c>
      <c r="J273" s="22">
        <f>Q272*103%</f>
        <v>258.53000000000003</v>
      </c>
    </row>
    <row r="274" spans="1:17" ht="39.75" customHeight="1" x14ac:dyDescent="0.2">
      <c r="A274" s="113"/>
      <c r="B274" s="82" t="s">
        <v>367</v>
      </c>
      <c r="C274" s="76" t="s">
        <v>132</v>
      </c>
      <c r="D274" s="77">
        <v>442.94</v>
      </c>
      <c r="E274" s="78"/>
      <c r="F274" s="79"/>
      <c r="G274" s="80">
        <f t="shared" si="33"/>
        <v>0</v>
      </c>
      <c r="I274" s="22">
        <f>8.3*2*3*3.75</f>
        <v>186.75000000000003</v>
      </c>
      <c r="J274" s="22">
        <f>1.65*3+1.5*7+1*3+2.7+2.45+3.45</f>
        <v>27.049999999999997</v>
      </c>
      <c r="K274" s="22">
        <f>J274*3.75</f>
        <v>101.43749999999999</v>
      </c>
      <c r="L274" s="22">
        <f>K274-6.24</f>
        <v>95.197499999999991</v>
      </c>
      <c r="M274" s="22">
        <f>3*13*3.75+8.3*2*3.75</f>
        <v>208.5</v>
      </c>
      <c r="N274" s="22">
        <f>K272</f>
        <v>60.41</v>
      </c>
      <c r="O274" s="22">
        <f>M274-N274</f>
        <v>148.09</v>
      </c>
      <c r="P274" s="22">
        <f>O274+L274+I274</f>
        <v>430.03750000000002</v>
      </c>
      <c r="Q274" s="22">
        <f>P274*103%</f>
        <v>442.93862500000006</v>
      </c>
    </row>
    <row r="275" spans="1:17" ht="13.5" customHeight="1" x14ac:dyDescent="0.2">
      <c r="A275" s="67" t="s">
        <v>53</v>
      </c>
      <c r="B275" s="265" t="s">
        <v>230</v>
      </c>
      <c r="C275" s="256"/>
      <c r="D275" s="257"/>
      <c r="E275" s="258"/>
      <c r="F275" s="259"/>
      <c r="G275" s="260"/>
    </row>
    <row r="276" spans="1:17" ht="15.75" customHeight="1" x14ac:dyDescent="0.2">
      <c r="A276" s="107" t="s">
        <v>155</v>
      </c>
      <c r="B276" s="108" t="s">
        <v>222</v>
      </c>
      <c r="C276" s="109"/>
      <c r="D276" s="110"/>
      <c r="E276" s="111"/>
      <c r="F276" s="286"/>
      <c r="G276" s="80">
        <f t="shared" ref="G276:G279" si="34">(D276*E276)+(D276*F276)</f>
        <v>0</v>
      </c>
    </row>
    <row r="277" spans="1:17" ht="15" customHeight="1" x14ac:dyDescent="0.2">
      <c r="A277" s="113"/>
      <c r="B277" s="114" t="s">
        <v>366</v>
      </c>
      <c r="C277" s="76" t="s">
        <v>132</v>
      </c>
      <c r="D277" s="77">
        <v>20.3</v>
      </c>
      <c r="E277" s="78"/>
      <c r="F277" s="79"/>
      <c r="G277" s="80">
        <f t="shared" si="34"/>
        <v>0</v>
      </c>
    </row>
    <row r="278" spans="1:17" ht="15.75" customHeight="1" x14ac:dyDescent="0.2">
      <c r="A278" s="74" t="s">
        <v>156</v>
      </c>
      <c r="B278" s="278" t="s">
        <v>223</v>
      </c>
      <c r="C278" s="109"/>
      <c r="D278" s="110"/>
      <c r="E278" s="111"/>
      <c r="F278" s="112"/>
      <c r="G278" s="80">
        <f t="shared" si="34"/>
        <v>0</v>
      </c>
    </row>
    <row r="279" spans="1:17" ht="13.5" customHeight="1" x14ac:dyDescent="0.2">
      <c r="A279" s="113"/>
      <c r="B279" s="82" t="s">
        <v>368</v>
      </c>
      <c r="C279" s="76" t="s">
        <v>132</v>
      </c>
      <c r="D279" s="77">
        <v>18.97</v>
      </c>
      <c r="E279" s="78"/>
      <c r="F279" s="79"/>
      <c r="G279" s="80">
        <f t="shared" si="34"/>
        <v>0</v>
      </c>
    </row>
    <row r="280" spans="1:17" ht="12.75" customHeight="1" x14ac:dyDescent="0.2">
      <c r="A280" s="287" t="s">
        <v>325</v>
      </c>
      <c r="B280" s="288" t="s">
        <v>326</v>
      </c>
      <c r="C280" s="289"/>
      <c r="D280" s="290"/>
      <c r="E280" s="291"/>
      <c r="F280" s="120"/>
      <c r="G280" s="121"/>
    </row>
    <row r="281" spans="1:17" ht="52.5" customHeight="1" x14ac:dyDescent="0.2">
      <c r="A281" s="113"/>
      <c r="B281" s="82" t="s">
        <v>453</v>
      </c>
      <c r="C281" s="76" t="s">
        <v>15</v>
      </c>
      <c r="D281" s="77">
        <v>1</v>
      </c>
      <c r="E281" s="78"/>
      <c r="F281" s="79"/>
      <c r="G281" s="80">
        <f t="shared" ref="G281" si="35">(D281*E281)+(D281*F281)</f>
        <v>0</v>
      </c>
    </row>
    <row r="282" spans="1:17" ht="12.75" customHeight="1" x14ac:dyDescent="0.2">
      <c r="A282" s="113"/>
      <c r="B282" s="82"/>
      <c r="C282" s="76"/>
      <c r="D282" s="77"/>
      <c r="E282" s="78"/>
      <c r="F282" s="79"/>
      <c r="G282" s="80"/>
    </row>
    <row r="283" spans="1:17" ht="12.75" customHeight="1" x14ac:dyDescent="0.2">
      <c r="A283" s="113"/>
      <c r="B283" s="82"/>
      <c r="C283" s="76"/>
      <c r="D283" s="77"/>
      <c r="E283" s="78"/>
      <c r="F283" s="79"/>
      <c r="G283" s="80"/>
    </row>
    <row r="284" spans="1:17" ht="12.75" customHeight="1" x14ac:dyDescent="0.2">
      <c r="A284" s="113"/>
      <c r="B284" s="82"/>
      <c r="C284" s="76"/>
      <c r="D284" s="77"/>
      <c r="E284" s="78"/>
      <c r="F284" s="79"/>
      <c r="G284" s="80"/>
    </row>
    <row r="285" spans="1:17" ht="12.75" customHeight="1" x14ac:dyDescent="0.2">
      <c r="A285" s="113"/>
      <c r="B285" s="82"/>
      <c r="C285" s="76"/>
      <c r="D285" s="77"/>
      <c r="E285" s="78"/>
      <c r="F285" s="79"/>
      <c r="G285" s="80"/>
    </row>
    <row r="286" spans="1:17" ht="12.75" customHeight="1" x14ac:dyDescent="0.2">
      <c r="A286" s="113"/>
      <c r="B286" s="82"/>
      <c r="C286" s="76"/>
      <c r="D286" s="77"/>
      <c r="E286" s="78"/>
      <c r="F286" s="79"/>
      <c r="G286" s="80"/>
    </row>
    <row r="287" spans="1:17" ht="12.75" customHeight="1" x14ac:dyDescent="0.2">
      <c r="A287" s="113"/>
      <c r="B287" s="82"/>
      <c r="C287" s="76"/>
      <c r="D287" s="77"/>
      <c r="E287" s="78"/>
      <c r="F287" s="79"/>
      <c r="G287" s="80"/>
    </row>
    <row r="288" spans="1:17" ht="12.75" customHeight="1" x14ac:dyDescent="0.2">
      <c r="A288" s="113"/>
      <c r="B288" s="82"/>
      <c r="C288" s="76"/>
      <c r="D288" s="77"/>
      <c r="E288" s="78"/>
      <c r="F288" s="79"/>
      <c r="G288" s="80"/>
    </row>
    <row r="289" spans="1:7" ht="12.75" customHeight="1" x14ac:dyDescent="0.2">
      <c r="A289" s="113"/>
      <c r="B289" s="82"/>
      <c r="C289" s="76"/>
      <c r="D289" s="77"/>
      <c r="E289" s="78"/>
      <c r="F289" s="79"/>
      <c r="G289" s="80"/>
    </row>
    <row r="290" spans="1:7" ht="12.75" customHeight="1" x14ac:dyDescent="0.2">
      <c r="A290" s="113"/>
      <c r="B290" s="82"/>
      <c r="C290" s="76"/>
      <c r="D290" s="77"/>
      <c r="E290" s="78"/>
      <c r="F290" s="79"/>
      <c r="G290" s="80"/>
    </row>
    <row r="291" spans="1:7" ht="12.75" customHeight="1" x14ac:dyDescent="0.2">
      <c r="A291" s="113"/>
      <c r="B291" s="82"/>
      <c r="C291" s="76"/>
      <c r="D291" s="77"/>
      <c r="E291" s="78"/>
      <c r="F291" s="79"/>
      <c r="G291" s="80"/>
    </row>
    <row r="292" spans="1:7" ht="12.75" customHeight="1" x14ac:dyDescent="0.2">
      <c r="A292" s="113"/>
      <c r="B292" s="82"/>
      <c r="C292" s="76"/>
      <c r="D292" s="77"/>
      <c r="E292" s="78"/>
      <c r="F292" s="79"/>
      <c r="G292" s="80"/>
    </row>
    <row r="293" spans="1:7" ht="12.75" customHeight="1" x14ac:dyDescent="0.2">
      <c r="A293" s="113"/>
      <c r="B293" s="82"/>
      <c r="C293" s="76"/>
      <c r="D293" s="77"/>
      <c r="E293" s="78"/>
      <c r="F293" s="79"/>
      <c r="G293" s="80"/>
    </row>
    <row r="294" spans="1:7" ht="12.75" customHeight="1" x14ac:dyDescent="0.2">
      <c r="A294" s="113"/>
      <c r="B294" s="82"/>
      <c r="C294" s="76"/>
      <c r="D294" s="77"/>
      <c r="E294" s="78"/>
      <c r="F294" s="79"/>
      <c r="G294" s="80"/>
    </row>
    <row r="295" spans="1:7" ht="12.75" customHeight="1" x14ac:dyDescent="0.2">
      <c r="A295" s="113"/>
      <c r="B295" s="82"/>
      <c r="C295" s="76"/>
      <c r="D295" s="77"/>
      <c r="E295" s="78"/>
      <c r="F295" s="79"/>
      <c r="G295" s="80"/>
    </row>
    <row r="296" spans="1:7" ht="12.75" customHeight="1" x14ac:dyDescent="0.2">
      <c r="A296" s="113"/>
      <c r="B296" s="82"/>
      <c r="C296" s="76"/>
      <c r="D296" s="77"/>
      <c r="E296" s="78"/>
      <c r="F296" s="79"/>
      <c r="G296" s="80"/>
    </row>
    <row r="297" spans="1:7" ht="12.75" customHeight="1" x14ac:dyDescent="0.2">
      <c r="A297" s="113"/>
      <c r="B297" s="82"/>
      <c r="C297" s="76"/>
      <c r="D297" s="77"/>
      <c r="E297" s="78"/>
      <c r="F297" s="79"/>
      <c r="G297" s="80"/>
    </row>
    <row r="298" spans="1:7" ht="12.75" customHeight="1" x14ac:dyDescent="0.2">
      <c r="A298" s="113"/>
      <c r="B298" s="82"/>
      <c r="C298" s="76"/>
      <c r="D298" s="77"/>
      <c r="E298" s="78"/>
      <c r="F298" s="79"/>
      <c r="G298" s="80"/>
    </row>
    <row r="299" spans="1:7" ht="12.75" customHeight="1" x14ac:dyDescent="0.2">
      <c r="A299" s="113"/>
      <c r="B299" s="82"/>
      <c r="C299" s="76"/>
      <c r="D299" s="77"/>
      <c r="E299" s="78"/>
      <c r="F299" s="79"/>
      <c r="G299" s="80"/>
    </row>
    <row r="300" spans="1:7" ht="12.75" customHeight="1" x14ac:dyDescent="0.2">
      <c r="A300" s="113"/>
      <c r="B300" s="82"/>
      <c r="C300" s="76"/>
      <c r="D300" s="77"/>
      <c r="E300" s="78"/>
      <c r="F300" s="79"/>
      <c r="G300" s="80"/>
    </row>
    <row r="301" spans="1:7" ht="12.75" customHeight="1" thickBot="1" x14ac:dyDescent="0.25">
      <c r="A301" s="113"/>
      <c r="B301" s="82"/>
      <c r="C301" s="76"/>
      <c r="D301" s="77"/>
      <c r="E301" s="78"/>
      <c r="F301" s="79"/>
      <c r="G301" s="80"/>
    </row>
    <row r="302" spans="1:7" x14ac:dyDescent="0.2">
      <c r="A302" s="189"/>
      <c r="B302" s="357" t="s">
        <v>139</v>
      </c>
      <c r="C302" s="366"/>
      <c r="D302" s="359"/>
      <c r="E302" s="193"/>
      <c r="F302" s="373"/>
      <c r="G302" s="374"/>
    </row>
    <row r="303" spans="1:7" ht="12.75" thickBot="1" x14ac:dyDescent="0.25">
      <c r="A303" s="360"/>
      <c r="B303" s="352" t="s">
        <v>185</v>
      </c>
      <c r="C303" s="367"/>
      <c r="D303" s="362"/>
      <c r="E303" s="363"/>
      <c r="F303" s="354"/>
      <c r="G303" s="356">
        <f>SUM(G224:G284)</f>
        <v>0</v>
      </c>
    </row>
    <row r="304" spans="1:7" x14ac:dyDescent="0.2">
      <c r="A304" s="292"/>
      <c r="B304" s="293" t="s">
        <v>101</v>
      </c>
      <c r="C304" s="294"/>
      <c r="D304" s="198"/>
      <c r="E304" s="126"/>
      <c r="F304" s="79"/>
      <c r="G304" s="80"/>
    </row>
    <row r="305" spans="1:18" x14ac:dyDescent="0.2">
      <c r="A305" s="292"/>
      <c r="B305" s="295" t="s">
        <v>102</v>
      </c>
      <c r="C305" s="294"/>
      <c r="D305" s="198"/>
      <c r="E305" s="126"/>
      <c r="F305" s="79"/>
      <c r="G305" s="80"/>
    </row>
    <row r="306" spans="1:18" x14ac:dyDescent="0.2">
      <c r="A306" s="137" t="s">
        <v>103</v>
      </c>
      <c r="B306" s="202" t="s">
        <v>39</v>
      </c>
      <c r="C306" s="197"/>
      <c r="D306" s="198"/>
      <c r="E306" s="85"/>
      <c r="F306" s="79"/>
      <c r="G306" s="80"/>
    </row>
    <row r="307" spans="1:18" ht="50.25" customHeight="1" x14ac:dyDescent="0.2">
      <c r="A307" s="137"/>
      <c r="B307" s="138" t="s">
        <v>129</v>
      </c>
      <c r="C307" s="138"/>
      <c r="D307" s="138"/>
      <c r="E307" s="138"/>
      <c r="F307" s="138"/>
      <c r="G307" s="139"/>
    </row>
    <row r="308" spans="1:18" ht="12.75" x14ac:dyDescent="0.2">
      <c r="A308" s="129" t="s">
        <v>141</v>
      </c>
      <c r="B308" s="130" t="s">
        <v>62</v>
      </c>
      <c r="C308" s="131"/>
      <c r="D308" s="132"/>
      <c r="E308" s="92"/>
      <c r="F308" s="72"/>
      <c r="G308" s="73"/>
    </row>
    <row r="309" spans="1:18" x14ac:dyDescent="0.2">
      <c r="A309" s="115" t="s">
        <v>134</v>
      </c>
      <c r="B309" s="116" t="s">
        <v>190</v>
      </c>
      <c r="C309" s="117"/>
      <c r="D309" s="118"/>
      <c r="E309" s="119"/>
      <c r="F309" s="120"/>
      <c r="G309" s="121"/>
    </row>
    <row r="310" spans="1:18" ht="12.75" x14ac:dyDescent="0.2">
      <c r="A310" s="122"/>
      <c r="B310" s="123" t="s">
        <v>195</v>
      </c>
      <c r="C310" s="124"/>
      <c r="D310" s="125"/>
      <c r="E310" s="126"/>
      <c r="F310" s="127"/>
      <c r="G310" s="128"/>
    </row>
    <row r="311" spans="1:18" ht="12.75" x14ac:dyDescent="0.2">
      <c r="A311" s="129" t="s">
        <v>141</v>
      </c>
      <c r="B311" s="130" t="s">
        <v>62</v>
      </c>
      <c r="C311" s="131"/>
      <c r="D311" s="132"/>
      <c r="E311" s="71"/>
      <c r="F311" s="72"/>
      <c r="G311" s="73">
        <f t="shared" ref="G311:G316" si="36">(D311*E311)+(D311*F311)</f>
        <v>0</v>
      </c>
    </row>
    <row r="312" spans="1:18" ht="15.75" x14ac:dyDescent="0.2">
      <c r="A312" s="122"/>
      <c r="B312" s="133" t="s">
        <v>369</v>
      </c>
      <c r="C312" s="124" t="s">
        <v>196</v>
      </c>
      <c r="D312" s="125">
        <v>154.38</v>
      </c>
      <c r="E312" s="134"/>
      <c r="F312" s="127"/>
      <c r="G312" s="128">
        <f t="shared" si="36"/>
        <v>0</v>
      </c>
      <c r="I312" s="22">
        <f>51.46*3</f>
        <v>154.38</v>
      </c>
    </row>
    <row r="313" spans="1:18" ht="15.75" x14ac:dyDescent="0.2">
      <c r="A313" s="122"/>
      <c r="B313" s="133" t="s">
        <v>370</v>
      </c>
      <c r="C313" s="124" t="s">
        <v>196</v>
      </c>
      <c r="D313" s="125">
        <v>60.47</v>
      </c>
      <c r="E313" s="134"/>
      <c r="F313" s="127"/>
      <c r="G313" s="128">
        <f t="shared" si="36"/>
        <v>0</v>
      </c>
      <c r="I313" s="22">
        <f>22.6*2</f>
        <v>45.2</v>
      </c>
      <c r="J313" s="22">
        <f>8.5*1.35</f>
        <v>11.475000000000001</v>
      </c>
      <c r="K313" s="22">
        <f>1.65*0.8</f>
        <v>1.32</v>
      </c>
      <c r="L313" s="22">
        <f>1.65*1.5</f>
        <v>2.4749999999999996</v>
      </c>
      <c r="M313" s="22">
        <f>SUM(I313:L313)</f>
        <v>60.470000000000006</v>
      </c>
    </row>
    <row r="314" spans="1:18" ht="15.75" x14ac:dyDescent="0.2">
      <c r="A314" s="122"/>
      <c r="B314" s="133" t="s">
        <v>371</v>
      </c>
      <c r="C314" s="124" t="s">
        <v>196</v>
      </c>
      <c r="D314" s="125">
        <v>3.68</v>
      </c>
      <c r="E314" s="134"/>
      <c r="F314" s="127"/>
      <c r="G314" s="128">
        <f t="shared" si="36"/>
        <v>0</v>
      </c>
      <c r="I314" s="47">
        <f>2.45*1.5</f>
        <v>3.6750000000000003</v>
      </c>
      <c r="K314" s="47"/>
      <c r="O314" s="47"/>
      <c r="Q314" s="47"/>
      <c r="R314" s="47"/>
    </row>
    <row r="315" spans="1:18" ht="15.75" x14ac:dyDescent="0.2">
      <c r="A315" s="122"/>
      <c r="B315" s="133" t="s">
        <v>372</v>
      </c>
      <c r="C315" s="124" t="s">
        <v>196</v>
      </c>
      <c r="D315" s="125">
        <v>13.56</v>
      </c>
      <c r="E315" s="134"/>
      <c r="F315" s="127"/>
      <c r="G315" s="128">
        <f t="shared" si="36"/>
        <v>0</v>
      </c>
      <c r="I315" s="22">
        <f>22.6*0.6</f>
        <v>13.56</v>
      </c>
    </row>
    <row r="316" spans="1:18" ht="15.75" x14ac:dyDescent="0.2">
      <c r="A316" s="122"/>
      <c r="B316" s="133" t="s">
        <v>373</v>
      </c>
      <c r="C316" s="124" t="s">
        <v>196</v>
      </c>
      <c r="D316" s="125">
        <v>4.5</v>
      </c>
      <c r="E316" s="134"/>
      <c r="F316" s="127"/>
      <c r="G316" s="128">
        <f t="shared" si="36"/>
        <v>0</v>
      </c>
      <c r="I316" s="31"/>
    </row>
    <row r="317" spans="1:18" x14ac:dyDescent="0.2">
      <c r="A317" s="115" t="s">
        <v>135</v>
      </c>
      <c r="B317" s="116" t="s">
        <v>136</v>
      </c>
      <c r="C317" s="135"/>
      <c r="D317" s="136"/>
      <c r="E317" s="119"/>
      <c r="F317" s="120"/>
      <c r="G317" s="121"/>
    </row>
    <row r="318" spans="1:18" ht="48" x14ac:dyDescent="0.2">
      <c r="A318" s="137"/>
      <c r="B318" s="138" t="s">
        <v>212</v>
      </c>
      <c r="C318" s="138"/>
      <c r="D318" s="138"/>
      <c r="E318" s="138"/>
      <c r="F318" s="138"/>
      <c r="G318" s="139"/>
    </row>
    <row r="319" spans="1:18" ht="24" x14ac:dyDescent="0.2">
      <c r="A319" s="140"/>
      <c r="B319" s="138" t="s">
        <v>213</v>
      </c>
      <c r="C319" s="138"/>
      <c r="D319" s="138"/>
      <c r="E319" s="138"/>
      <c r="F319" s="138"/>
      <c r="G319" s="139"/>
    </row>
    <row r="320" spans="1:18" ht="36" x14ac:dyDescent="0.2">
      <c r="A320" s="140"/>
      <c r="B320" s="138" t="s">
        <v>454</v>
      </c>
      <c r="C320" s="138"/>
      <c r="D320" s="138"/>
      <c r="E320" s="138"/>
      <c r="F320" s="138"/>
      <c r="G320" s="139"/>
    </row>
    <row r="321" spans="1:13" ht="48" x14ac:dyDescent="0.2">
      <c r="A321" s="140"/>
      <c r="B321" s="138" t="s">
        <v>455</v>
      </c>
      <c r="C321" s="138"/>
      <c r="D321" s="138"/>
      <c r="E321" s="138"/>
      <c r="F321" s="138"/>
      <c r="G321" s="139"/>
    </row>
    <row r="322" spans="1:13" ht="12.75" x14ac:dyDescent="0.2">
      <c r="A322" s="129" t="s">
        <v>141</v>
      </c>
      <c r="B322" s="130" t="s">
        <v>62</v>
      </c>
      <c r="C322" s="131"/>
      <c r="D322" s="132"/>
      <c r="E322" s="92"/>
      <c r="F322" s="72"/>
      <c r="G322" s="73"/>
    </row>
    <row r="323" spans="1:13" ht="12.75" x14ac:dyDescent="0.2">
      <c r="A323" s="122" t="s">
        <v>214</v>
      </c>
      <c r="B323" s="141" t="s">
        <v>210</v>
      </c>
      <c r="C323" s="124"/>
      <c r="D323" s="125"/>
      <c r="E323" s="134"/>
      <c r="F323" s="127"/>
      <c r="G323" s="128"/>
      <c r="I323" s="54"/>
      <c r="J323" s="29"/>
      <c r="K323" s="27"/>
    </row>
    <row r="324" spans="1:13" ht="12.75" x14ac:dyDescent="0.2">
      <c r="A324" s="122" t="s">
        <v>155</v>
      </c>
      <c r="B324" s="141" t="s">
        <v>456</v>
      </c>
      <c r="C324" s="124"/>
      <c r="D324" s="125"/>
      <c r="E324" s="134"/>
      <c r="F324" s="127"/>
      <c r="G324" s="128"/>
      <c r="I324" s="54"/>
      <c r="J324" s="29"/>
      <c r="K324" s="27"/>
    </row>
    <row r="325" spans="1:13" ht="15.75" x14ac:dyDescent="0.2">
      <c r="A325" s="122"/>
      <c r="B325" s="133" t="s">
        <v>369</v>
      </c>
      <c r="C325" s="124" t="s">
        <v>196</v>
      </c>
      <c r="D325" s="125">
        <f>D312</f>
        <v>154.38</v>
      </c>
      <c r="E325" s="134"/>
      <c r="F325" s="127"/>
      <c r="G325" s="128">
        <f t="shared" ref="G325:G326" si="37">(D325*E325)+(D325*F325)</f>
        <v>0</v>
      </c>
      <c r="I325" s="54"/>
      <c r="J325" s="29"/>
      <c r="K325" s="27"/>
    </row>
    <row r="326" spans="1:13" ht="15.75" x14ac:dyDescent="0.2">
      <c r="A326" s="122"/>
      <c r="B326" s="133" t="s">
        <v>371</v>
      </c>
      <c r="C326" s="124" t="s">
        <v>196</v>
      </c>
      <c r="D326" s="125">
        <v>3.68</v>
      </c>
      <c r="E326" s="134"/>
      <c r="F326" s="127"/>
      <c r="G326" s="128">
        <f t="shared" si="37"/>
        <v>0</v>
      </c>
      <c r="I326" s="54"/>
      <c r="J326" s="29"/>
      <c r="K326" s="27"/>
    </row>
    <row r="327" spans="1:13" ht="12.75" x14ac:dyDescent="0.2">
      <c r="A327" s="122" t="s">
        <v>156</v>
      </c>
      <c r="B327" s="141" t="s">
        <v>457</v>
      </c>
      <c r="C327" s="124"/>
      <c r="D327" s="125"/>
      <c r="E327" s="134"/>
      <c r="F327" s="127"/>
      <c r="G327" s="128"/>
      <c r="I327" s="54"/>
      <c r="J327" s="29"/>
      <c r="K327" s="27"/>
    </row>
    <row r="328" spans="1:13" ht="15.75" x14ac:dyDescent="0.2">
      <c r="A328" s="122"/>
      <c r="B328" s="133" t="s">
        <v>370</v>
      </c>
      <c r="C328" s="124" t="s">
        <v>196</v>
      </c>
      <c r="D328" s="125">
        <f>D313</f>
        <v>60.47</v>
      </c>
      <c r="E328" s="134"/>
      <c r="F328" s="127"/>
      <c r="G328" s="128">
        <f t="shared" ref="G328" si="38">(D328*E328)+(D328*F328)</f>
        <v>0</v>
      </c>
      <c r="I328" s="54"/>
      <c r="J328" s="29"/>
      <c r="K328" s="27"/>
    </row>
    <row r="329" spans="1:13" ht="12.75" x14ac:dyDescent="0.2">
      <c r="A329" s="122" t="s">
        <v>164</v>
      </c>
      <c r="B329" s="141" t="s">
        <v>458</v>
      </c>
      <c r="C329" s="124"/>
      <c r="D329" s="125"/>
      <c r="E329" s="134"/>
      <c r="F329" s="127"/>
      <c r="G329" s="128"/>
    </row>
    <row r="330" spans="1:13" ht="15.75" x14ac:dyDescent="0.2">
      <c r="A330" s="122"/>
      <c r="B330" s="133" t="s">
        <v>372</v>
      </c>
      <c r="C330" s="124" t="s">
        <v>196</v>
      </c>
      <c r="D330" s="125">
        <f>D315</f>
        <v>13.56</v>
      </c>
      <c r="E330" s="134"/>
      <c r="F330" s="127"/>
      <c r="G330" s="128">
        <f t="shared" ref="G330" si="39">(D330*E330)+(D330*F330)</f>
        <v>0</v>
      </c>
    </row>
    <row r="331" spans="1:13" ht="12.75" x14ac:dyDescent="0.2">
      <c r="A331" s="122" t="s">
        <v>165</v>
      </c>
      <c r="B331" s="141" t="s">
        <v>374</v>
      </c>
      <c r="C331" s="124"/>
      <c r="D331" s="125"/>
      <c r="E331" s="134"/>
      <c r="F331" s="127"/>
      <c r="G331" s="128"/>
    </row>
    <row r="332" spans="1:13" ht="15.75" x14ac:dyDescent="0.2">
      <c r="A332" s="122"/>
      <c r="B332" s="133" t="s">
        <v>373</v>
      </c>
      <c r="C332" s="124" t="s">
        <v>196</v>
      </c>
      <c r="D332" s="125">
        <v>4.5</v>
      </c>
      <c r="E332" s="134"/>
      <c r="F332" s="127"/>
      <c r="G332" s="128">
        <f t="shared" ref="G332" si="40">(D332*E332)+(D332*F332)</f>
        <v>0</v>
      </c>
    </row>
    <row r="333" spans="1:13" ht="12.75" x14ac:dyDescent="0.2">
      <c r="A333" s="122" t="s">
        <v>215</v>
      </c>
      <c r="B333" s="141" t="s">
        <v>375</v>
      </c>
      <c r="C333" s="124"/>
      <c r="D333" s="125"/>
      <c r="E333" s="134"/>
      <c r="F333" s="127"/>
      <c r="G333" s="128"/>
      <c r="I333" s="54"/>
      <c r="J333" s="29"/>
      <c r="K333" s="27"/>
      <c r="L333" s="37"/>
      <c r="M333" s="47">
        <f>L333*2</f>
        <v>0</v>
      </c>
    </row>
    <row r="334" spans="1:13" ht="45" customHeight="1" x14ac:dyDescent="0.2">
      <c r="A334" s="122"/>
      <c r="B334" s="141" t="s">
        <v>460</v>
      </c>
      <c r="C334" s="124"/>
      <c r="D334" s="125"/>
      <c r="E334" s="134"/>
      <c r="F334" s="127"/>
      <c r="G334" s="128"/>
      <c r="I334" s="55"/>
      <c r="J334" s="46"/>
      <c r="K334" s="56"/>
      <c r="L334" s="87"/>
    </row>
    <row r="335" spans="1:13" ht="15.75" x14ac:dyDescent="0.2">
      <c r="A335" s="122"/>
      <c r="B335" s="133" t="s">
        <v>376</v>
      </c>
      <c r="C335" s="124" t="s">
        <v>196</v>
      </c>
      <c r="D335" s="125">
        <v>41.4</v>
      </c>
      <c r="E335" s="134"/>
      <c r="F335" s="127"/>
      <c r="G335" s="128">
        <f t="shared" ref="G335:G337" si="41">(D335*E335)+(D335*F335)</f>
        <v>0</v>
      </c>
      <c r="I335" s="31">
        <f>1.5*6+1*6</f>
        <v>15</v>
      </c>
      <c r="J335" s="47">
        <f>I335*3</f>
        <v>45</v>
      </c>
      <c r="K335" s="47">
        <f>0.6*2*3</f>
        <v>3.5999999999999996</v>
      </c>
      <c r="L335" s="47">
        <f>J335-K335</f>
        <v>41.4</v>
      </c>
    </row>
    <row r="336" spans="1:13" ht="15.75" x14ac:dyDescent="0.2">
      <c r="A336" s="122"/>
      <c r="B336" s="133" t="s">
        <v>377</v>
      </c>
      <c r="C336" s="124" t="s">
        <v>196</v>
      </c>
      <c r="D336" s="125">
        <v>8.64</v>
      </c>
      <c r="E336" s="134"/>
      <c r="F336" s="127"/>
      <c r="G336" s="128">
        <f t="shared" si="41"/>
        <v>0</v>
      </c>
      <c r="I336" s="31">
        <f>1.5+1.65*2</f>
        <v>4.8</v>
      </c>
      <c r="J336" s="47">
        <f>I336*1.8</f>
        <v>8.64</v>
      </c>
      <c r="K336" s="47"/>
      <c r="L336" s="47"/>
    </row>
    <row r="337" spans="1:12" ht="15.75" x14ac:dyDescent="0.2">
      <c r="A337" s="122"/>
      <c r="B337" s="133" t="s">
        <v>378</v>
      </c>
      <c r="C337" s="124" t="s">
        <v>196</v>
      </c>
      <c r="D337" s="125">
        <v>2.1</v>
      </c>
      <c r="E337" s="134"/>
      <c r="F337" s="127"/>
      <c r="G337" s="128">
        <f t="shared" si="41"/>
        <v>0</v>
      </c>
      <c r="I337" s="47">
        <f>1.5*1.4</f>
        <v>2.0999999999999996</v>
      </c>
      <c r="J337" s="47"/>
      <c r="K337" s="47"/>
      <c r="L337" s="47"/>
    </row>
    <row r="338" spans="1:12" ht="12.75" x14ac:dyDescent="0.2">
      <c r="A338" s="122" t="s">
        <v>379</v>
      </c>
      <c r="B338" s="141" t="s">
        <v>211</v>
      </c>
      <c r="C338" s="124"/>
      <c r="D338" s="125"/>
      <c r="E338" s="134"/>
      <c r="F338" s="127"/>
      <c r="G338" s="128"/>
      <c r="I338" s="54"/>
      <c r="J338" s="29"/>
      <c r="K338" s="27"/>
      <c r="L338" s="27"/>
    </row>
    <row r="339" spans="1:12" ht="12.75" x14ac:dyDescent="0.2">
      <c r="A339" s="122" t="s">
        <v>155</v>
      </c>
      <c r="B339" s="133" t="s">
        <v>459</v>
      </c>
      <c r="C339" s="124" t="s">
        <v>118</v>
      </c>
      <c r="D339" s="125">
        <v>124.1</v>
      </c>
      <c r="E339" s="134"/>
      <c r="F339" s="127"/>
      <c r="G339" s="128">
        <f t="shared" ref="G339" si="42">(D339*E339)+(D339*F339)</f>
        <v>0</v>
      </c>
      <c r="I339" s="22">
        <f>6.2*6+8.3*6+8.7+2.7+3.625+19.4+2.45*2+1.5*2</f>
        <v>129.32500000000002</v>
      </c>
      <c r="J339" s="22">
        <f>0.55*6+0.48*4</f>
        <v>5.2200000000000006</v>
      </c>
      <c r="K339" s="22">
        <f>I339-J339</f>
        <v>124.10500000000002</v>
      </c>
    </row>
    <row r="340" spans="1:12" ht="12.75" thickBot="1" x14ac:dyDescent="0.25">
      <c r="A340" s="296"/>
      <c r="B340" s="297"/>
      <c r="C340" s="276"/>
      <c r="D340" s="103"/>
      <c r="E340" s="134"/>
      <c r="F340" s="127"/>
      <c r="G340" s="128"/>
    </row>
    <row r="341" spans="1:12" x14ac:dyDescent="0.2">
      <c r="A341" s="189"/>
      <c r="B341" s="357" t="s">
        <v>137</v>
      </c>
      <c r="C341" s="366"/>
      <c r="D341" s="359"/>
      <c r="E341" s="193"/>
      <c r="F341" s="373"/>
      <c r="G341" s="374"/>
    </row>
    <row r="342" spans="1:12" ht="12.75" thickBot="1" x14ac:dyDescent="0.25">
      <c r="A342" s="360"/>
      <c r="B342" s="352" t="s">
        <v>138</v>
      </c>
      <c r="C342" s="367"/>
      <c r="D342" s="362"/>
      <c r="E342" s="363"/>
      <c r="F342" s="354"/>
      <c r="G342" s="356">
        <f>SUM(G308:G341)</f>
        <v>0</v>
      </c>
    </row>
    <row r="343" spans="1:12" x14ac:dyDescent="0.2">
      <c r="A343" s="176"/>
      <c r="B343" s="214"/>
      <c r="C343" s="207"/>
      <c r="D343" s="103"/>
      <c r="E343" s="85"/>
      <c r="F343" s="79"/>
      <c r="G343" s="261"/>
    </row>
    <row r="344" spans="1:12" x14ac:dyDescent="0.2">
      <c r="A344" s="176"/>
      <c r="B344" s="279" t="s">
        <v>174</v>
      </c>
      <c r="C344" s="207"/>
      <c r="D344" s="103"/>
      <c r="E344" s="85"/>
      <c r="F344" s="79"/>
      <c r="G344" s="80"/>
    </row>
    <row r="345" spans="1:12" x14ac:dyDescent="0.2">
      <c r="A345" s="176"/>
      <c r="B345" s="196" t="s">
        <v>104</v>
      </c>
      <c r="C345" s="207"/>
      <c r="D345" s="103"/>
      <c r="E345" s="85"/>
      <c r="F345" s="79"/>
      <c r="G345" s="80"/>
    </row>
    <row r="346" spans="1:12" x14ac:dyDescent="0.2">
      <c r="A346" s="137" t="s">
        <v>158</v>
      </c>
      <c r="B346" s="202" t="s">
        <v>39</v>
      </c>
      <c r="C346" s="207"/>
      <c r="D346" s="103"/>
      <c r="E346" s="85"/>
      <c r="F346" s="79"/>
      <c r="G346" s="80"/>
    </row>
    <row r="347" spans="1:12" ht="40.5" customHeight="1" x14ac:dyDescent="0.2">
      <c r="A347" s="176"/>
      <c r="B347" s="138" t="s">
        <v>233</v>
      </c>
      <c r="C347" s="281"/>
      <c r="D347" s="281"/>
      <c r="E347" s="281"/>
      <c r="F347" s="281"/>
      <c r="G347" s="280"/>
    </row>
    <row r="348" spans="1:12" ht="59.25" customHeight="1" x14ac:dyDescent="0.2">
      <c r="A348" s="176"/>
      <c r="B348" s="138" t="s">
        <v>232</v>
      </c>
      <c r="C348" s="281"/>
      <c r="D348" s="281"/>
      <c r="E348" s="281"/>
      <c r="F348" s="281"/>
      <c r="G348" s="280"/>
    </row>
    <row r="349" spans="1:12" ht="37.5" customHeight="1" x14ac:dyDescent="0.2">
      <c r="A349" s="176"/>
      <c r="B349" s="138" t="s">
        <v>231</v>
      </c>
      <c r="C349" s="281"/>
      <c r="D349" s="281"/>
      <c r="E349" s="281"/>
      <c r="F349" s="281"/>
      <c r="G349" s="280"/>
    </row>
    <row r="350" spans="1:12" ht="39.75" customHeight="1" x14ac:dyDescent="0.2">
      <c r="A350" s="176"/>
      <c r="B350" s="138" t="s">
        <v>463</v>
      </c>
      <c r="C350" s="281"/>
      <c r="D350" s="281"/>
      <c r="E350" s="281"/>
      <c r="F350" s="281"/>
      <c r="G350" s="280"/>
    </row>
    <row r="351" spans="1:12" ht="13.5" customHeight="1" x14ac:dyDescent="0.2">
      <c r="A351" s="176"/>
      <c r="B351" s="446" t="s">
        <v>194</v>
      </c>
      <c r="C351" s="447"/>
      <c r="D351" s="447"/>
      <c r="E351" s="447"/>
      <c r="F351" s="447"/>
      <c r="G351" s="448"/>
    </row>
    <row r="352" spans="1:12" x14ac:dyDescent="0.2">
      <c r="A352" s="88" t="s">
        <v>141</v>
      </c>
      <c r="B352" s="89" t="s">
        <v>106</v>
      </c>
      <c r="C352" s="90"/>
      <c r="D352" s="91"/>
      <c r="E352" s="92"/>
      <c r="F352" s="72"/>
      <c r="G352" s="73"/>
    </row>
    <row r="353" spans="1:12" x14ac:dyDescent="0.2">
      <c r="A353" s="93"/>
      <c r="B353" s="94" t="s">
        <v>356</v>
      </c>
      <c r="C353" s="95"/>
      <c r="D353" s="96"/>
      <c r="E353" s="97"/>
      <c r="F353" s="98"/>
      <c r="G353" s="99"/>
    </row>
    <row r="354" spans="1:12" s="48" customFormat="1" ht="39" customHeight="1" x14ac:dyDescent="0.2">
      <c r="A354" s="100" t="s">
        <v>155</v>
      </c>
      <c r="B354" s="101" t="s">
        <v>461</v>
      </c>
      <c r="C354" s="102" t="s">
        <v>107</v>
      </c>
      <c r="D354" s="103">
        <v>6</v>
      </c>
      <c r="E354" s="85"/>
      <c r="F354" s="104"/>
      <c r="G354" s="105">
        <f t="shared" ref="G354:G355" si="43">(D354*E354)+(D354*F354)</f>
        <v>0</v>
      </c>
      <c r="I354" s="106">
        <f>0.95*2.83</f>
        <v>2.6884999999999999</v>
      </c>
      <c r="J354" s="53">
        <f>I354*D354</f>
        <v>16.131</v>
      </c>
      <c r="K354" s="106">
        <f>J354+J358+J359+J360</f>
        <v>60.405999999999999</v>
      </c>
    </row>
    <row r="355" spans="1:12" ht="27.75" customHeight="1" x14ac:dyDescent="0.2">
      <c r="A355" s="100" t="s">
        <v>156</v>
      </c>
      <c r="B355" s="101" t="s">
        <v>357</v>
      </c>
      <c r="C355" s="102" t="s">
        <v>107</v>
      </c>
      <c r="D355" s="103">
        <v>4</v>
      </c>
      <c r="E355" s="85"/>
      <c r="F355" s="104"/>
      <c r="G355" s="105">
        <f t="shared" si="43"/>
        <v>0</v>
      </c>
      <c r="H355" s="48"/>
      <c r="I355" s="53">
        <f>0.78*2</f>
        <v>1.56</v>
      </c>
      <c r="J355" s="53">
        <f t="shared" ref="J355" si="44">I355*D355</f>
        <v>6.24</v>
      </c>
      <c r="K355" s="106"/>
      <c r="L355" s="48"/>
    </row>
    <row r="356" spans="1:12" ht="12" customHeight="1" x14ac:dyDescent="0.2">
      <c r="A356" s="100"/>
      <c r="B356" s="101"/>
      <c r="C356" s="102"/>
      <c r="D356" s="103"/>
      <c r="E356" s="85"/>
      <c r="F356" s="104"/>
      <c r="G356" s="105"/>
      <c r="H356" s="48"/>
      <c r="I356" s="53"/>
      <c r="J356" s="53"/>
      <c r="K356" s="106"/>
      <c r="L356" s="48"/>
    </row>
    <row r="357" spans="1:12" x14ac:dyDescent="0.2">
      <c r="A357" s="93"/>
      <c r="B357" s="94" t="s">
        <v>358</v>
      </c>
      <c r="C357" s="95"/>
      <c r="D357" s="96"/>
      <c r="E357" s="97"/>
      <c r="F357" s="98"/>
      <c r="G357" s="99"/>
      <c r="I357" s="31"/>
      <c r="J357" s="53"/>
      <c r="K357" s="47"/>
      <c r="L357" s="47" t="e">
        <f>J355+#REF!</f>
        <v>#REF!</v>
      </c>
    </row>
    <row r="358" spans="1:12" ht="52.5" customHeight="1" x14ac:dyDescent="0.2">
      <c r="A358" s="100" t="s">
        <v>155</v>
      </c>
      <c r="B358" s="101" t="s">
        <v>359</v>
      </c>
      <c r="C358" s="102" t="s">
        <v>107</v>
      </c>
      <c r="D358" s="103">
        <v>6</v>
      </c>
      <c r="E358" s="85"/>
      <c r="F358" s="104"/>
      <c r="G358" s="105">
        <f t="shared" ref="G358:G360" si="45">(D358*E358)+(D358*F358)</f>
        <v>0</v>
      </c>
      <c r="I358" s="31">
        <f>2.45*1.7</f>
        <v>4.165</v>
      </c>
      <c r="J358" s="53">
        <f>I358*D358</f>
        <v>24.990000000000002</v>
      </c>
      <c r="K358" s="47"/>
    </row>
    <row r="359" spans="1:12" ht="39" customHeight="1" x14ac:dyDescent="0.2">
      <c r="A359" s="100" t="s">
        <v>156</v>
      </c>
      <c r="B359" s="101" t="s">
        <v>462</v>
      </c>
      <c r="C359" s="102" t="s">
        <v>107</v>
      </c>
      <c r="D359" s="103">
        <v>6</v>
      </c>
      <c r="E359" s="85"/>
      <c r="F359" s="104"/>
      <c r="G359" s="105">
        <f t="shared" si="45"/>
        <v>0</v>
      </c>
      <c r="I359" s="31">
        <f>1.575*2</f>
        <v>3.15</v>
      </c>
      <c r="J359" s="53">
        <f>I359*D359</f>
        <v>18.899999999999999</v>
      </c>
      <c r="K359" s="47"/>
    </row>
    <row r="360" spans="1:12" ht="28.5" customHeight="1" x14ac:dyDescent="0.2">
      <c r="A360" s="100" t="s">
        <v>164</v>
      </c>
      <c r="B360" s="101" t="s">
        <v>360</v>
      </c>
      <c r="C360" s="102" t="s">
        <v>107</v>
      </c>
      <c r="D360" s="103">
        <v>1</v>
      </c>
      <c r="E360" s="85"/>
      <c r="F360" s="104"/>
      <c r="G360" s="105">
        <f t="shared" si="45"/>
        <v>0</v>
      </c>
      <c r="I360" s="31">
        <f>0.7*0.55</f>
        <v>0.38500000000000001</v>
      </c>
      <c r="J360" s="53">
        <f>I360*D360</f>
        <v>0.38500000000000001</v>
      </c>
      <c r="K360" s="47"/>
    </row>
    <row r="361" spans="1:12" ht="12" customHeight="1" x14ac:dyDescent="0.2">
      <c r="A361" s="100"/>
      <c r="B361" s="101"/>
      <c r="C361" s="102"/>
      <c r="D361" s="103"/>
      <c r="E361" s="85"/>
      <c r="F361" s="104"/>
      <c r="G361" s="105"/>
      <c r="J361" s="53">
        <f>SUM(J354:J360)</f>
        <v>66.646000000000001</v>
      </c>
      <c r="K361" s="31">
        <f>J361-J355</f>
        <v>60.405999999999999</v>
      </c>
    </row>
    <row r="362" spans="1:12" ht="12" customHeight="1" x14ac:dyDescent="0.2">
      <c r="A362" s="100"/>
      <c r="B362" s="101"/>
      <c r="C362" s="102"/>
      <c r="D362" s="103"/>
      <c r="E362" s="85"/>
      <c r="F362" s="104"/>
      <c r="G362" s="105"/>
      <c r="J362" s="53"/>
      <c r="K362" s="31"/>
    </row>
    <row r="363" spans="1:12" ht="12" customHeight="1" x14ac:dyDescent="0.2">
      <c r="A363" s="100"/>
      <c r="B363" s="101"/>
      <c r="C363" s="102"/>
      <c r="D363" s="103"/>
      <c r="E363" s="85"/>
      <c r="F363" s="104"/>
      <c r="G363" s="105"/>
      <c r="J363" s="53"/>
      <c r="K363" s="31"/>
    </row>
    <row r="364" spans="1:12" ht="12" customHeight="1" x14ac:dyDescent="0.2">
      <c r="A364" s="100"/>
      <c r="B364" s="101"/>
      <c r="C364" s="102"/>
      <c r="D364" s="103"/>
      <c r="E364" s="85"/>
      <c r="F364" s="104"/>
      <c r="G364" s="105"/>
      <c r="J364" s="53"/>
      <c r="K364" s="31"/>
    </row>
    <row r="365" spans="1:12" ht="12" customHeight="1" x14ac:dyDescent="0.2">
      <c r="A365" s="100"/>
      <c r="B365" s="101"/>
      <c r="C365" s="102"/>
      <c r="D365" s="103"/>
      <c r="E365" s="85"/>
      <c r="F365" s="104"/>
      <c r="G365" s="105"/>
      <c r="J365" s="53"/>
      <c r="K365" s="31"/>
    </row>
    <row r="366" spans="1:12" ht="12" customHeight="1" x14ac:dyDescent="0.2">
      <c r="A366" s="100"/>
      <c r="B366" s="101"/>
      <c r="C366" s="102"/>
      <c r="D366" s="103"/>
      <c r="E366" s="85"/>
      <c r="F366" s="104"/>
      <c r="G366" s="105"/>
      <c r="J366" s="53"/>
      <c r="K366" s="31"/>
    </row>
    <row r="367" spans="1:12" ht="12" customHeight="1" x14ac:dyDescent="0.2">
      <c r="A367" s="100"/>
      <c r="B367" s="101"/>
      <c r="C367" s="102"/>
      <c r="D367" s="103"/>
      <c r="E367" s="85"/>
      <c r="F367" s="104"/>
      <c r="G367" s="105"/>
      <c r="J367" s="53"/>
      <c r="K367" s="31"/>
    </row>
    <row r="368" spans="1:12" ht="12" customHeight="1" x14ac:dyDescent="0.2">
      <c r="A368" s="100"/>
      <c r="B368" s="101"/>
      <c r="C368" s="102"/>
      <c r="D368" s="103"/>
      <c r="E368" s="85"/>
      <c r="F368" s="104"/>
      <c r="G368" s="105"/>
      <c r="J368" s="53"/>
      <c r="K368" s="31"/>
    </row>
    <row r="369" spans="1:11" ht="12" customHeight="1" x14ac:dyDescent="0.2">
      <c r="A369" s="100"/>
      <c r="B369" s="101"/>
      <c r="C369" s="102"/>
      <c r="D369" s="103"/>
      <c r="E369" s="85"/>
      <c r="F369" s="104"/>
      <c r="G369" s="105"/>
      <c r="J369" s="53"/>
      <c r="K369" s="31"/>
    </row>
    <row r="370" spans="1:11" ht="12" customHeight="1" x14ac:dyDescent="0.2">
      <c r="A370" s="100"/>
      <c r="B370" s="101"/>
      <c r="C370" s="102"/>
      <c r="D370" s="103"/>
      <c r="E370" s="85"/>
      <c r="F370" s="104"/>
      <c r="G370" s="105"/>
      <c r="J370" s="53"/>
      <c r="K370" s="31"/>
    </row>
    <row r="371" spans="1:11" ht="12" customHeight="1" x14ac:dyDescent="0.2">
      <c r="A371" s="100"/>
      <c r="B371" s="101"/>
      <c r="C371" s="102"/>
      <c r="D371" s="103"/>
      <c r="E371" s="85"/>
      <c r="F371" s="104"/>
      <c r="G371" s="105"/>
      <c r="J371" s="53"/>
      <c r="K371" s="31"/>
    </row>
    <row r="372" spans="1:11" ht="12" customHeight="1" x14ac:dyDescent="0.2">
      <c r="A372" s="100"/>
      <c r="B372" s="101"/>
      <c r="C372" s="102"/>
      <c r="D372" s="103"/>
      <c r="E372" s="85"/>
      <c r="F372" s="104"/>
      <c r="G372" s="105"/>
      <c r="J372" s="53"/>
      <c r="K372" s="31"/>
    </row>
    <row r="373" spans="1:11" ht="12" customHeight="1" x14ac:dyDescent="0.2">
      <c r="A373" s="100"/>
      <c r="B373" s="101"/>
      <c r="C373" s="102"/>
      <c r="D373" s="103"/>
      <c r="E373" s="85"/>
      <c r="F373" s="104"/>
      <c r="G373" s="105"/>
      <c r="J373" s="53"/>
      <c r="K373" s="31"/>
    </row>
    <row r="374" spans="1:11" ht="12" customHeight="1" x14ac:dyDescent="0.2">
      <c r="A374" s="100"/>
      <c r="B374" s="101"/>
      <c r="C374" s="102"/>
      <c r="D374" s="103"/>
      <c r="E374" s="85"/>
      <c r="F374" s="104"/>
      <c r="G374" s="105"/>
      <c r="J374" s="53"/>
      <c r="K374" s="31"/>
    </row>
    <row r="375" spans="1:11" ht="12" customHeight="1" x14ac:dyDescent="0.2">
      <c r="A375" s="100"/>
      <c r="B375" s="101"/>
      <c r="C375" s="102"/>
      <c r="D375" s="103"/>
      <c r="E375" s="85"/>
      <c r="F375" s="104"/>
      <c r="G375" s="105"/>
      <c r="J375" s="53"/>
      <c r="K375" s="31"/>
    </row>
    <row r="376" spans="1:11" ht="12" customHeight="1" x14ac:dyDescent="0.2">
      <c r="A376" s="100"/>
      <c r="B376" s="101"/>
      <c r="C376" s="102"/>
      <c r="D376" s="103"/>
      <c r="E376" s="85"/>
      <c r="F376" s="104"/>
      <c r="G376" s="105"/>
      <c r="J376" s="53"/>
      <c r="K376" s="31"/>
    </row>
    <row r="377" spans="1:11" ht="12" customHeight="1" x14ac:dyDescent="0.2">
      <c r="A377" s="100"/>
      <c r="B377" s="101"/>
      <c r="C377" s="102"/>
      <c r="D377" s="103"/>
      <c r="E377" s="85"/>
      <c r="F377" s="104"/>
      <c r="G377" s="105"/>
      <c r="J377" s="53"/>
      <c r="K377" s="31"/>
    </row>
    <row r="378" spans="1:11" ht="12" customHeight="1" thickBot="1" x14ac:dyDescent="0.25">
      <c r="A378" s="100"/>
      <c r="B378" s="101"/>
      <c r="C378" s="102"/>
      <c r="D378" s="103"/>
      <c r="E378" s="85"/>
      <c r="F378" s="104"/>
      <c r="G378" s="105"/>
      <c r="J378" s="53"/>
      <c r="K378" s="31"/>
    </row>
    <row r="379" spans="1:11" x14ac:dyDescent="0.2">
      <c r="A379" s="378"/>
      <c r="B379" s="357" t="s">
        <v>175</v>
      </c>
      <c r="C379" s="191"/>
      <c r="D379" s="192"/>
      <c r="E379" s="193"/>
      <c r="F379" s="373"/>
      <c r="G379" s="374"/>
    </row>
    <row r="380" spans="1:11" ht="12.75" thickBot="1" x14ac:dyDescent="0.25">
      <c r="A380" s="394"/>
      <c r="B380" s="352" t="s">
        <v>176</v>
      </c>
      <c r="C380" s="395"/>
      <c r="D380" s="396"/>
      <c r="E380" s="363"/>
      <c r="F380" s="354"/>
      <c r="G380" s="356">
        <f>SUM(G354:G377)</f>
        <v>0</v>
      </c>
    </row>
    <row r="381" spans="1:11" x14ac:dyDescent="0.2">
      <c r="A381" s="137"/>
      <c r="B381" s="214"/>
      <c r="C381" s="197"/>
      <c r="D381" s="198"/>
      <c r="E381" s="85"/>
      <c r="F381" s="79"/>
      <c r="G381" s="261"/>
    </row>
    <row r="382" spans="1:11" x14ac:dyDescent="0.2">
      <c r="A382" s="176"/>
      <c r="B382" s="279" t="s">
        <v>177</v>
      </c>
      <c r="C382" s="207"/>
      <c r="D382" s="103"/>
      <c r="E382" s="85"/>
      <c r="F382" s="79"/>
      <c r="G382" s="80"/>
    </row>
    <row r="383" spans="1:11" x14ac:dyDescent="0.2">
      <c r="A383" s="176"/>
      <c r="B383" s="196" t="s">
        <v>154</v>
      </c>
      <c r="C383" s="207"/>
      <c r="D383" s="103"/>
      <c r="E383" s="85"/>
      <c r="F383" s="79"/>
      <c r="G383" s="80"/>
    </row>
    <row r="384" spans="1:11" x14ac:dyDescent="0.2">
      <c r="A384" s="137" t="s">
        <v>105</v>
      </c>
      <c r="B384" s="229" t="s">
        <v>39</v>
      </c>
      <c r="C384" s="207"/>
      <c r="D384" s="103"/>
      <c r="E384" s="85"/>
      <c r="F384" s="79"/>
      <c r="G384" s="80"/>
    </row>
    <row r="385" spans="1:11" ht="62.25" customHeight="1" x14ac:dyDescent="0.2">
      <c r="A385" s="137"/>
      <c r="B385" s="298" t="s">
        <v>225</v>
      </c>
      <c r="C385" s="299"/>
      <c r="D385" s="299"/>
      <c r="E385" s="299"/>
      <c r="F385" s="299"/>
      <c r="G385" s="300"/>
    </row>
    <row r="386" spans="1:11" ht="42.75" customHeight="1" x14ac:dyDescent="0.2">
      <c r="A386" s="137"/>
      <c r="B386" s="301" t="s">
        <v>111</v>
      </c>
      <c r="C386" s="301"/>
      <c r="D386" s="301"/>
      <c r="E386" s="301"/>
      <c r="F386" s="301"/>
      <c r="G386" s="302"/>
      <c r="I386" s="31"/>
    </row>
    <row r="387" spans="1:11" ht="48.75" customHeight="1" x14ac:dyDescent="0.2">
      <c r="A387" s="176"/>
      <c r="B387" s="303" t="s">
        <v>216</v>
      </c>
      <c r="C387" s="303"/>
      <c r="D387" s="303"/>
      <c r="E387" s="303"/>
      <c r="F387" s="303"/>
      <c r="G387" s="304"/>
    </row>
    <row r="388" spans="1:11" x14ac:dyDescent="0.2">
      <c r="A388" s="243" t="s">
        <v>159</v>
      </c>
      <c r="B388" s="305" t="s">
        <v>85</v>
      </c>
      <c r="C388" s="255"/>
      <c r="D388" s="246"/>
      <c r="E388" s="247"/>
      <c r="F388" s="246"/>
      <c r="G388" s="284"/>
    </row>
    <row r="389" spans="1:11" x14ac:dyDescent="0.2">
      <c r="A389" s="88" t="s">
        <v>141</v>
      </c>
      <c r="B389" s="89" t="s">
        <v>253</v>
      </c>
      <c r="C389" s="306"/>
      <c r="D389" s="307"/>
      <c r="E389" s="146"/>
      <c r="F389" s="72"/>
      <c r="G389" s="73"/>
    </row>
    <row r="390" spans="1:11" ht="24" x14ac:dyDescent="0.2">
      <c r="A390" s="176" t="s">
        <v>155</v>
      </c>
      <c r="B390" s="308" t="s">
        <v>380</v>
      </c>
      <c r="C390" s="152" t="s">
        <v>133</v>
      </c>
      <c r="D390" s="103">
        <f>D325</f>
        <v>154.38</v>
      </c>
      <c r="E390" s="85"/>
      <c r="F390" s="79"/>
      <c r="G390" s="80">
        <f>(D390*E390)+(D390*F390)</f>
        <v>0</v>
      </c>
    </row>
    <row r="391" spans="1:11" x14ac:dyDescent="0.2">
      <c r="A391" s="137"/>
      <c r="B391" s="308"/>
      <c r="C391" s="152"/>
      <c r="D391" s="103"/>
      <c r="E391" s="85"/>
      <c r="F391" s="79"/>
      <c r="G391" s="80"/>
    </row>
    <row r="392" spans="1:11" ht="36" x14ac:dyDescent="0.2">
      <c r="A392" s="176" t="s">
        <v>156</v>
      </c>
      <c r="B392" s="308" t="s">
        <v>381</v>
      </c>
      <c r="C392" s="152" t="s">
        <v>133</v>
      </c>
      <c r="D392" s="103">
        <f>D313+D314+D316</f>
        <v>68.650000000000006</v>
      </c>
      <c r="E392" s="85"/>
      <c r="F392" s="79"/>
      <c r="G392" s="80">
        <f>(D392*E392)+(D392*F392)</f>
        <v>0</v>
      </c>
    </row>
    <row r="393" spans="1:11" x14ac:dyDescent="0.2">
      <c r="A393" s="137"/>
      <c r="B393" s="308"/>
      <c r="C393" s="152"/>
      <c r="D393" s="103"/>
      <c r="E393" s="85"/>
      <c r="F393" s="79"/>
      <c r="G393" s="80"/>
    </row>
    <row r="394" spans="1:11" ht="24" x14ac:dyDescent="0.2">
      <c r="A394" s="176" t="s">
        <v>164</v>
      </c>
      <c r="B394" s="308" t="s">
        <v>254</v>
      </c>
      <c r="C394" s="152" t="s">
        <v>133</v>
      </c>
      <c r="D394" s="103">
        <v>49.1</v>
      </c>
      <c r="E394" s="85"/>
      <c r="F394" s="79"/>
      <c r="G394" s="80">
        <f>(D394*E394)+(D394*F394)</f>
        <v>0</v>
      </c>
      <c r="I394" s="22">
        <f>22.6*0.935*2</f>
        <v>42.262000000000008</v>
      </c>
      <c r="J394" s="22">
        <f>22.6*0.3</f>
        <v>6.78</v>
      </c>
      <c r="K394" s="22">
        <f>SUM(I394:J394)</f>
        <v>49.042000000000009</v>
      </c>
    </row>
    <row r="395" spans="1:11" x14ac:dyDescent="0.2">
      <c r="A395" s="137"/>
      <c r="B395" s="308"/>
      <c r="C395" s="152"/>
      <c r="D395" s="103"/>
      <c r="E395" s="85"/>
      <c r="F395" s="79"/>
      <c r="G395" s="80">
        <f t="shared" ref="G395:G399" si="46">(D395*E395)+(D395*F395)</f>
        <v>0</v>
      </c>
    </row>
    <row r="396" spans="1:11" x14ac:dyDescent="0.2">
      <c r="A396" s="243" t="s">
        <v>273</v>
      </c>
      <c r="B396" s="305" t="s">
        <v>274</v>
      </c>
      <c r="C396" s="255"/>
      <c r="D396" s="246"/>
      <c r="E396" s="247"/>
      <c r="F396" s="246"/>
      <c r="G396" s="284"/>
    </row>
    <row r="397" spans="1:11" ht="24" x14ac:dyDescent="0.2">
      <c r="A397" s="137"/>
      <c r="B397" s="308" t="s">
        <v>275</v>
      </c>
      <c r="C397" s="152" t="s">
        <v>118</v>
      </c>
      <c r="D397" s="103">
        <v>71.2</v>
      </c>
      <c r="E397" s="85"/>
      <c r="F397" s="79"/>
      <c r="G397" s="80">
        <f t="shared" si="46"/>
        <v>0</v>
      </c>
      <c r="I397" s="22">
        <f>22.6*3</f>
        <v>67.800000000000011</v>
      </c>
      <c r="J397" s="22">
        <f>I397*105%</f>
        <v>71.190000000000012</v>
      </c>
    </row>
    <row r="398" spans="1:11" x14ac:dyDescent="0.2">
      <c r="A398" s="137"/>
      <c r="B398" s="308"/>
      <c r="C398" s="152"/>
      <c r="D398" s="103"/>
      <c r="E398" s="85"/>
      <c r="F398" s="79"/>
      <c r="G398" s="80">
        <f t="shared" si="46"/>
        <v>0</v>
      </c>
    </row>
    <row r="399" spans="1:11" x14ac:dyDescent="0.2">
      <c r="A399" s="137"/>
      <c r="B399" s="308"/>
      <c r="C399" s="152"/>
      <c r="D399" s="103"/>
      <c r="E399" s="85"/>
      <c r="F399" s="79"/>
      <c r="G399" s="80">
        <f t="shared" si="46"/>
        <v>0</v>
      </c>
    </row>
    <row r="400" spans="1:11" x14ac:dyDescent="0.2">
      <c r="A400" s="137"/>
      <c r="B400" s="308"/>
      <c r="C400" s="152"/>
      <c r="D400" s="103"/>
      <c r="E400" s="85"/>
      <c r="F400" s="79"/>
      <c r="G400" s="80"/>
    </row>
    <row r="401" spans="1:7" x14ac:dyDescent="0.2">
      <c r="A401" s="137"/>
      <c r="B401" s="308"/>
      <c r="C401" s="152"/>
      <c r="D401" s="103"/>
      <c r="E401" s="85"/>
      <c r="F401" s="79"/>
      <c r="G401" s="80"/>
    </row>
    <row r="402" spans="1:7" x14ac:dyDescent="0.2">
      <c r="A402" s="137"/>
      <c r="B402" s="308"/>
      <c r="C402" s="152"/>
      <c r="D402" s="103"/>
      <c r="E402" s="85"/>
      <c r="F402" s="79"/>
      <c r="G402" s="80"/>
    </row>
    <row r="403" spans="1:7" x14ac:dyDescent="0.2">
      <c r="A403" s="137"/>
      <c r="B403" s="308"/>
      <c r="C403" s="152"/>
      <c r="D403" s="103"/>
      <c r="E403" s="85"/>
      <c r="F403" s="79"/>
      <c r="G403" s="80"/>
    </row>
    <row r="404" spans="1:7" x14ac:dyDescent="0.2">
      <c r="A404" s="137"/>
      <c r="B404" s="308"/>
      <c r="C404" s="152"/>
      <c r="D404" s="103"/>
      <c r="E404" s="85"/>
      <c r="F404" s="79"/>
      <c r="G404" s="80"/>
    </row>
    <row r="405" spans="1:7" x14ac:dyDescent="0.2">
      <c r="A405" s="137"/>
      <c r="B405" s="308"/>
      <c r="C405" s="152"/>
      <c r="D405" s="103"/>
      <c r="E405" s="85"/>
      <c r="F405" s="79"/>
      <c r="G405" s="80"/>
    </row>
    <row r="406" spans="1:7" x14ac:dyDescent="0.2">
      <c r="A406" s="137"/>
      <c r="B406" s="308"/>
      <c r="C406" s="152"/>
      <c r="D406" s="103"/>
      <c r="E406" s="85"/>
      <c r="F406" s="79"/>
      <c r="G406" s="80"/>
    </row>
    <row r="407" spans="1:7" x14ac:dyDescent="0.2">
      <c r="A407" s="137"/>
      <c r="B407" s="308"/>
      <c r="C407" s="152"/>
      <c r="D407" s="103"/>
      <c r="E407" s="85"/>
      <c r="F407" s="79"/>
      <c r="G407" s="80"/>
    </row>
    <row r="408" spans="1:7" x14ac:dyDescent="0.2">
      <c r="A408" s="137"/>
      <c r="B408" s="308"/>
      <c r="C408" s="152"/>
      <c r="D408" s="103"/>
      <c r="E408" s="85"/>
      <c r="F408" s="79"/>
      <c r="G408" s="80"/>
    </row>
    <row r="409" spans="1:7" x14ac:dyDescent="0.2">
      <c r="A409" s="137"/>
      <c r="B409" s="308"/>
      <c r="C409" s="152"/>
      <c r="D409" s="103"/>
      <c r="E409" s="85"/>
      <c r="F409" s="79"/>
      <c r="G409" s="80"/>
    </row>
    <row r="410" spans="1:7" x14ac:dyDescent="0.2">
      <c r="A410" s="137"/>
      <c r="B410" s="308"/>
      <c r="C410" s="152"/>
      <c r="D410" s="103"/>
      <c r="E410" s="85"/>
      <c r="F410" s="79"/>
      <c r="G410" s="80"/>
    </row>
    <row r="411" spans="1:7" x14ac:dyDescent="0.2">
      <c r="A411" s="137"/>
      <c r="B411" s="308"/>
      <c r="C411" s="152"/>
      <c r="D411" s="103"/>
      <c r="E411" s="85"/>
      <c r="F411" s="79"/>
      <c r="G411" s="80"/>
    </row>
    <row r="412" spans="1:7" x14ac:dyDescent="0.2">
      <c r="A412" s="137"/>
      <c r="B412" s="308"/>
      <c r="C412" s="152"/>
      <c r="D412" s="103"/>
      <c r="E412" s="85"/>
      <c r="F412" s="79"/>
      <c r="G412" s="80"/>
    </row>
    <row r="413" spans="1:7" x14ac:dyDescent="0.2">
      <c r="A413" s="137"/>
      <c r="B413" s="308"/>
      <c r="C413" s="152"/>
      <c r="D413" s="103"/>
      <c r="E413" s="85"/>
      <c r="F413" s="79"/>
      <c r="G413" s="80"/>
    </row>
    <row r="414" spans="1:7" x14ac:dyDescent="0.2">
      <c r="A414" s="137"/>
      <c r="B414" s="308"/>
      <c r="C414" s="152"/>
      <c r="D414" s="103"/>
      <c r="E414" s="85"/>
      <c r="F414" s="79"/>
      <c r="G414" s="80"/>
    </row>
    <row r="415" spans="1:7" x14ac:dyDescent="0.2">
      <c r="A415" s="137"/>
      <c r="B415" s="308"/>
      <c r="C415" s="152"/>
      <c r="D415" s="103"/>
      <c r="E415" s="85"/>
      <c r="F415" s="79"/>
      <c r="G415" s="80"/>
    </row>
    <row r="416" spans="1:7" x14ac:dyDescent="0.2">
      <c r="A416" s="137"/>
      <c r="B416" s="308"/>
      <c r="C416" s="152"/>
      <c r="D416" s="103"/>
      <c r="E416" s="85"/>
      <c r="F416" s="79"/>
      <c r="G416" s="80"/>
    </row>
    <row r="417" spans="1:11" x14ac:dyDescent="0.2">
      <c r="A417" s="137"/>
      <c r="B417" s="308"/>
      <c r="C417" s="152"/>
      <c r="D417" s="103"/>
      <c r="E417" s="85"/>
      <c r="F417" s="79"/>
      <c r="G417" s="80"/>
    </row>
    <row r="418" spans="1:11" x14ac:dyDescent="0.2">
      <c r="A418" s="137"/>
      <c r="B418" s="308"/>
      <c r="C418" s="152"/>
      <c r="D418" s="103"/>
      <c r="E418" s="85"/>
      <c r="F418" s="79"/>
      <c r="G418" s="80"/>
    </row>
    <row r="419" spans="1:11" x14ac:dyDescent="0.2">
      <c r="A419" s="137"/>
      <c r="B419" s="308"/>
      <c r="C419" s="152"/>
      <c r="D419" s="103"/>
      <c r="E419" s="85"/>
      <c r="F419" s="79"/>
      <c r="G419" s="80"/>
    </row>
    <row r="420" spans="1:11" x14ac:dyDescent="0.2">
      <c r="A420" s="137"/>
      <c r="B420" s="308"/>
      <c r="C420" s="152"/>
      <c r="D420" s="103"/>
      <c r="E420" s="85"/>
      <c r="F420" s="79"/>
      <c r="G420" s="80"/>
    </row>
    <row r="421" spans="1:11" x14ac:dyDescent="0.2">
      <c r="A421" s="137"/>
      <c r="B421" s="308"/>
      <c r="C421" s="152"/>
      <c r="D421" s="103"/>
      <c r="E421" s="85"/>
      <c r="F421" s="79"/>
      <c r="G421" s="80"/>
    </row>
    <row r="422" spans="1:11" x14ac:dyDescent="0.2">
      <c r="A422" s="137"/>
      <c r="B422" s="308"/>
      <c r="C422" s="152"/>
      <c r="D422" s="103"/>
      <c r="E422" s="85"/>
      <c r="F422" s="79"/>
      <c r="G422" s="80"/>
    </row>
    <row r="423" spans="1:11" ht="12.75" thickBot="1" x14ac:dyDescent="0.25">
      <c r="A423" s="137"/>
      <c r="B423" s="308"/>
      <c r="C423" s="152"/>
      <c r="D423" s="103"/>
      <c r="E423" s="85"/>
      <c r="F423" s="79"/>
      <c r="G423" s="80"/>
    </row>
    <row r="424" spans="1:11" x14ac:dyDescent="0.2">
      <c r="A424" s="189"/>
      <c r="B424" s="357" t="s">
        <v>178</v>
      </c>
      <c r="C424" s="366"/>
      <c r="D424" s="359"/>
      <c r="E424" s="193"/>
      <c r="F424" s="373"/>
      <c r="G424" s="374"/>
    </row>
    <row r="425" spans="1:11" ht="12.75" thickBot="1" x14ac:dyDescent="0.25">
      <c r="A425" s="360"/>
      <c r="B425" s="352" t="s">
        <v>108</v>
      </c>
      <c r="C425" s="367"/>
      <c r="D425" s="362"/>
      <c r="E425" s="363"/>
      <c r="F425" s="354"/>
      <c r="G425" s="356">
        <f>SUM(G390:G405)</f>
        <v>0</v>
      </c>
    </row>
    <row r="426" spans="1:11" x14ac:dyDescent="0.2">
      <c r="A426" s="176"/>
      <c r="B426" s="214"/>
      <c r="C426" s="207"/>
      <c r="D426" s="103"/>
      <c r="E426" s="85"/>
      <c r="F426" s="79"/>
      <c r="G426" s="261"/>
    </row>
    <row r="427" spans="1:11" x14ac:dyDescent="0.2">
      <c r="A427" s="176"/>
      <c r="B427" s="279" t="s">
        <v>109</v>
      </c>
      <c r="C427" s="207"/>
      <c r="D427" s="103"/>
      <c r="E427" s="85"/>
      <c r="F427" s="79"/>
      <c r="G427" s="80"/>
    </row>
    <row r="428" spans="1:11" x14ac:dyDescent="0.2">
      <c r="A428" s="176"/>
      <c r="B428" s="196" t="s">
        <v>87</v>
      </c>
      <c r="C428" s="207"/>
      <c r="D428" s="103"/>
      <c r="E428" s="85"/>
      <c r="F428" s="79"/>
      <c r="G428" s="80"/>
    </row>
    <row r="429" spans="1:11" x14ac:dyDescent="0.2">
      <c r="A429" s="137" t="s">
        <v>110</v>
      </c>
      <c r="B429" s="229" t="s">
        <v>39</v>
      </c>
      <c r="C429" s="207" t="s">
        <v>55</v>
      </c>
      <c r="D429" s="103"/>
      <c r="E429" s="85"/>
      <c r="F429" s="79"/>
      <c r="G429" s="80"/>
      <c r="I429" s="33"/>
      <c r="J429" s="30">
        <v>80.599999999999994</v>
      </c>
      <c r="K429" s="30"/>
    </row>
    <row r="430" spans="1:11" s="34" customFormat="1" ht="76.5" customHeight="1" x14ac:dyDescent="0.2">
      <c r="A430" s="100"/>
      <c r="B430" s="213" t="s">
        <v>238</v>
      </c>
      <c r="C430" s="238"/>
      <c r="D430" s="238"/>
      <c r="E430" s="238"/>
      <c r="F430" s="238"/>
      <c r="G430" s="309"/>
      <c r="I430" s="33"/>
      <c r="J430" s="42"/>
      <c r="K430" s="30"/>
    </row>
    <row r="431" spans="1:11" s="34" customFormat="1" ht="29.25" customHeight="1" x14ac:dyDescent="0.2">
      <c r="A431" s="100"/>
      <c r="B431" s="213" t="s">
        <v>237</v>
      </c>
      <c r="C431" s="238"/>
      <c r="D431" s="238"/>
      <c r="E431" s="238"/>
      <c r="F431" s="238"/>
      <c r="G431" s="309"/>
      <c r="I431" s="33"/>
      <c r="J431" s="30">
        <v>168.85</v>
      </c>
      <c r="K431" s="30"/>
    </row>
    <row r="432" spans="1:11" s="34" customFormat="1" ht="64.5" customHeight="1" x14ac:dyDescent="0.2">
      <c r="A432" s="100"/>
      <c r="B432" s="213" t="s">
        <v>327</v>
      </c>
      <c r="C432" s="238"/>
      <c r="D432" s="238"/>
      <c r="E432" s="238"/>
      <c r="F432" s="238"/>
      <c r="G432" s="309"/>
      <c r="I432" s="33"/>
      <c r="J432" s="42"/>
      <c r="K432" s="30"/>
    </row>
    <row r="433" spans="1:11" s="34" customFormat="1" ht="85.5" customHeight="1" x14ac:dyDescent="0.2">
      <c r="A433" s="100"/>
      <c r="B433" s="213" t="s">
        <v>464</v>
      </c>
      <c r="C433" s="238"/>
      <c r="D433" s="238"/>
      <c r="E433" s="238"/>
      <c r="F433" s="238"/>
      <c r="G433" s="309"/>
      <c r="I433" s="39"/>
      <c r="J433" s="30">
        <v>139</v>
      </c>
      <c r="K433" s="40"/>
    </row>
    <row r="434" spans="1:11" x14ac:dyDescent="0.2">
      <c r="A434" s="88" t="s">
        <v>141</v>
      </c>
      <c r="B434" s="89" t="s">
        <v>62</v>
      </c>
      <c r="C434" s="90"/>
      <c r="D434" s="91"/>
      <c r="E434" s="92"/>
      <c r="F434" s="72"/>
      <c r="G434" s="73"/>
      <c r="I434" s="30"/>
      <c r="J434" s="40"/>
      <c r="K434" s="30"/>
    </row>
    <row r="435" spans="1:11" ht="36" x14ac:dyDescent="0.2">
      <c r="A435" s="176"/>
      <c r="B435" s="310" t="s">
        <v>328</v>
      </c>
      <c r="C435" s="177" t="s">
        <v>133</v>
      </c>
      <c r="D435" s="103">
        <f>D272</f>
        <v>258.52999999999997</v>
      </c>
      <c r="E435" s="85"/>
      <c r="F435" s="79"/>
      <c r="G435" s="80">
        <f t="shared" ref="G435:G437" si="47">(D435*E435)+(D435*F435)</f>
        <v>0</v>
      </c>
      <c r="I435" s="30"/>
      <c r="J435" s="42"/>
      <c r="K435" s="30"/>
    </row>
    <row r="436" spans="1:11" ht="24" x14ac:dyDescent="0.2">
      <c r="A436" s="176"/>
      <c r="B436" s="310" t="s">
        <v>329</v>
      </c>
      <c r="C436" s="177" t="s">
        <v>133</v>
      </c>
      <c r="D436" s="103">
        <f>D274</f>
        <v>442.94</v>
      </c>
      <c r="E436" s="85"/>
      <c r="F436" s="79"/>
      <c r="G436" s="80">
        <f t="shared" si="47"/>
        <v>0</v>
      </c>
      <c r="I436" s="30"/>
      <c r="J436" s="30">
        <v>143.19999999999999</v>
      </c>
      <c r="K436" s="30"/>
    </row>
    <row r="437" spans="1:11" ht="24" x14ac:dyDescent="0.2">
      <c r="A437" s="176"/>
      <c r="B437" s="310" t="s">
        <v>330</v>
      </c>
      <c r="C437" s="177" t="s">
        <v>133</v>
      </c>
      <c r="D437" s="103">
        <f>D392</f>
        <v>68.650000000000006</v>
      </c>
      <c r="E437" s="85"/>
      <c r="F437" s="79"/>
      <c r="G437" s="80">
        <f t="shared" si="47"/>
        <v>0</v>
      </c>
      <c r="I437" s="30"/>
      <c r="J437" s="42"/>
      <c r="K437" s="30"/>
    </row>
    <row r="438" spans="1:11" x14ac:dyDescent="0.2">
      <c r="A438" s="176"/>
      <c r="B438" s="310"/>
      <c r="C438" s="177"/>
      <c r="D438" s="103"/>
      <c r="E438" s="85"/>
      <c r="F438" s="79"/>
      <c r="G438" s="80"/>
      <c r="J438" s="57"/>
    </row>
    <row r="439" spans="1:11" x14ac:dyDescent="0.2">
      <c r="A439" s="88" t="s">
        <v>142</v>
      </c>
      <c r="B439" s="89" t="s">
        <v>230</v>
      </c>
      <c r="C439" s="90"/>
      <c r="D439" s="91"/>
      <c r="E439" s="92"/>
      <c r="F439" s="72"/>
      <c r="G439" s="73"/>
      <c r="J439" s="57"/>
    </row>
    <row r="440" spans="1:11" ht="36" x14ac:dyDescent="0.2">
      <c r="A440" s="176"/>
      <c r="B440" s="310" t="s">
        <v>328</v>
      </c>
      <c r="C440" s="177" t="s">
        <v>133</v>
      </c>
      <c r="D440" s="103">
        <v>20.3</v>
      </c>
      <c r="E440" s="85"/>
      <c r="F440" s="79"/>
      <c r="G440" s="80">
        <f t="shared" ref="G440:G441" si="48">(D440*E440)+(D440*F440)</f>
        <v>0</v>
      </c>
      <c r="J440" s="57"/>
    </row>
    <row r="441" spans="1:11" ht="24" customHeight="1" x14ac:dyDescent="0.2">
      <c r="A441" s="176"/>
      <c r="B441" s="310" t="s">
        <v>331</v>
      </c>
      <c r="C441" s="177" t="s">
        <v>133</v>
      </c>
      <c r="D441" s="103">
        <f>D394</f>
        <v>49.1</v>
      </c>
      <c r="E441" s="85"/>
      <c r="F441" s="79"/>
      <c r="G441" s="80">
        <f t="shared" si="48"/>
        <v>0</v>
      </c>
      <c r="J441" s="57"/>
    </row>
    <row r="442" spans="1:11" x14ac:dyDescent="0.2">
      <c r="A442" s="176"/>
      <c r="B442" s="310"/>
      <c r="C442" s="177"/>
      <c r="D442" s="103"/>
      <c r="E442" s="85"/>
      <c r="F442" s="79"/>
      <c r="G442" s="80"/>
      <c r="J442" s="57"/>
    </row>
    <row r="443" spans="1:11" x14ac:dyDescent="0.2">
      <c r="A443" s="176"/>
      <c r="B443" s="310"/>
      <c r="C443" s="177"/>
      <c r="D443" s="103"/>
      <c r="E443" s="85"/>
      <c r="F443" s="79"/>
      <c r="G443" s="80"/>
      <c r="J443" s="57"/>
    </row>
    <row r="444" spans="1:11" x14ac:dyDescent="0.2">
      <c r="A444" s="176"/>
      <c r="B444" s="310"/>
      <c r="C444" s="177"/>
      <c r="D444" s="103"/>
      <c r="E444" s="85"/>
      <c r="F444" s="79"/>
      <c r="G444" s="80"/>
      <c r="J444" s="57"/>
    </row>
    <row r="445" spans="1:11" x14ac:dyDescent="0.2">
      <c r="A445" s="176"/>
      <c r="B445" s="310"/>
      <c r="C445" s="177"/>
      <c r="D445" s="103"/>
      <c r="E445" s="85"/>
      <c r="F445" s="79"/>
      <c r="G445" s="80"/>
      <c r="J445" s="57"/>
    </row>
    <row r="446" spans="1:11" x14ac:dyDescent="0.2">
      <c r="A446" s="176"/>
      <c r="B446" s="310"/>
      <c r="C446" s="177"/>
      <c r="D446" s="103"/>
      <c r="E446" s="85"/>
      <c r="F446" s="79"/>
      <c r="G446" s="80"/>
      <c r="J446" s="57"/>
    </row>
    <row r="447" spans="1:11" x14ac:dyDescent="0.2">
      <c r="A447" s="176"/>
      <c r="B447" s="310"/>
      <c r="C447" s="177"/>
      <c r="D447" s="103"/>
      <c r="E447" s="85"/>
      <c r="F447" s="79"/>
      <c r="G447" s="80"/>
      <c r="J447" s="57"/>
    </row>
    <row r="448" spans="1:11" x14ac:dyDescent="0.2">
      <c r="A448" s="176"/>
      <c r="B448" s="310"/>
      <c r="C448" s="177"/>
      <c r="D448" s="103"/>
      <c r="E448" s="85"/>
      <c r="F448" s="79"/>
      <c r="G448" s="80"/>
      <c r="J448" s="57"/>
    </row>
    <row r="449" spans="1:10" x14ac:dyDescent="0.2">
      <c r="A449" s="176"/>
      <c r="B449" s="310"/>
      <c r="C449" s="177"/>
      <c r="D449" s="103"/>
      <c r="E449" s="85"/>
      <c r="F449" s="79"/>
      <c r="G449" s="80"/>
      <c r="J449" s="57"/>
    </row>
    <row r="450" spans="1:10" x14ac:dyDescent="0.2">
      <c r="A450" s="176"/>
      <c r="B450" s="310"/>
      <c r="C450" s="177"/>
      <c r="D450" s="103"/>
      <c r="E450" s="85"/>
      <c r="F450" s="79"/>
      <c r="G450" s="80"/>
      <c r="J450" s="57"/>
    </row>
    <row r="451" spans="1:10" x14ac:dyDescent="0.2">
      <c r="A451" s="176"/>
      <c r="B451" s="310"/>
      <c r="C451" s="177"/>
      <c r="D451" s="103"/>
      <c r="E451" s="85"/>
      <c r="F451" s="79"/>
      <c r="G451" s="80"/>
      <c r="J451" s="57"/>
    </row>
    <row r="452" spans="1:10" x14ac:dyDescent="0.2">
      <c r="A452" s="176"/>
      <c r="B452" s="310"/>
      <c r="C452" s="177"/>
      <c r="D452" s="103"/>
      <c r="E452" s="85"/>
      <c r="F452" s="79"/>
      <c r="G452" s="80"/>
      <c r="J452" s="57"/>
    </row>
    <row r="453" spans="1:10" x14ac:dyDescent="0.2">
      <c r="A453" s="176"/>
      <c r="B453" s="310"/>
      <c r="C453" s="177"/>
      <c r="D453" s="103"/>
      <c r="E453" s="85"/>
      <c r="F453" s="79"/>
      <c r="G453" s="80"/>
      <c r="J453" s="57"/>
    </row>
    <row r="454" spans="1:10" x14ac:dyDescent="0.2">
      <c r="A454" s="176"/>
      <c r="B454" s="310"/>
      <c r="C454" s="177"/>
      <c r="D454" s="103"/>
      <c r="E454" s="85"/>
      <c r="F454" s="79"/>
      <c r="G454" s="80"/>
      <c r="J454" s="57"/>
    </row>
    <row r="455" spans="1:10" x14ac:dyDescent="0.2">
      <c r="A455" s="176"/>
      <c r="B455" s="310"/>
      <c r="C455" s="177"/>
      <c r="D455" s="103"/>
      <c r="E455" s="85"/>
      <c r="F455" s="79"/>
      <c r="G455" s="80"/>
      <c r="J455" s="57"/>
    </row>
    <row r="456" spans="1:10" x14ac:dyDescent="0.2">
      <c r="A456" s="176"/>
      <c r="B456" s="310"/>
      <c r="C456" s="177"/>
      <c r="D456" s="103"/>
      <c r="E456" s="85"/>
      <c r="F456" s="79"/>
      <c r="G456" s="80"/>
      <c r="J456" s="57"/>
    </row>
    <row r="457" spans="1:10" x14ac:dyDescent="0.2">
      <c r="A457" s="176"/>
      <c r="B457" s="310"/>
      <c r="C457" s="177"/>
      <c r="D457" s="103"/>
      <c r="E457" s="85"/>
      <c r="F457" s="79"/>
      <c r="G457" s="80"/>
      <c r="J457" s="57"/>
    </row>
    <row r="458" spans="1:10" ht="12.75" thickBot="1" x14ac:dyDescent="0.25">
      <c r="A458" s="176"/>
      <c r="B458" s="310"/>
      <c r="C458" s="177"/>
      <c r="D458" s="103"/>
      <c r="E458" s="85"/>
      <c r="F458" s="79"/>
      <c r="G458" s="80"/>
      <c r="J458" s="57"/>
    </row>
    <row r="459" spans="1:10" x14ac:dyDescent="0.2">
      <c r="A459" s="189"/>
      <c r="B459" s="357" t="s">
        <v>179</v>
      </c>
      <c r="C459" s="366"/>
      <c r="D459" s="359"/>
      <c r="E459" s="193"/>
      <c r="F459" s="373"/>
      <c r="G459" s="374"/>
    </row>
    <row r="460" spans="1:10" ht="12.75" thickBot="1" x14ac:dyDescent="0.25">
      <c r="A460" s="360"/>
      <c r="B460" s="352" t="s">
        <v>112</v>
      </c>
      <c r="C460" s="367"/>
      <c r="D460" s="362"/>
      <c r="E460" s="363"/>
      <c r="F460" s="354"/>
      <c r="G460" s="356">
        <f>SUM(G435:G441)</f>
        <v>0</v>
      </c>
    </row>
    <row r="461" spans="1:10" x14ac:dyDescent="0.2">
      <c r="A461" s="176"/>
      <c r="B461" s="214"/>
      <c r="C461" s="207"/>
      <c r="D461" s="103"/>
      <c r="E461" s="85"/>
      <c r="F461" s="79"/>
      <c r="G461" s="80"/>
    </row>
    <row r="462" spans="1:10" x14ac:dyDescent="0.2">
      <c r="A462" s="176"/>
      <c r="B462" s="279" t="s">
        <v>113</v>
      </c>
      <c r="C462" s="207"/>
      <c r="D462" s="103"/>
      <c r="E462" s="85"/>
      <c r="F462" s="79"/>
      <c r="G462" s="80"/>
    </row>
    <row r="463" spans="1:10" x14ac:dyDescent="0.2">
      <c r="A463" s="176"/>
      <c r="B463" s="196" t="s">
        <v>89</v>
      </c>
      <c r="C463" s="207"/>
      <c r="D463" s="103"/>
      <c r="E463" s="85"/>
      <c r="F463" s="79"/>
      <c r="G463" s="80"/>
    </row>
    <row r="464" spans="1:10" x14ac:dyDescent="0.2">
      <c r="A464" s="137" t="s">
        <v>114</v>
      </c>
      <c r="B464" s="229" t="s">
        <v>39</v>
      </c>
      <c r="C464" s="207"/>
      <c r="D464" s="103"/>
      <c r="E464" s="85"/>
      <c r="F464" s="79"/>
      <c r="G464" s="80"/>
    </row>
    <row r="465" spans="1:11" s="34" customFormat="1" ht="63" customHeight="1" x14ac:dyDescent="0.25">
      <c r="A465" s="100"/>
      <c r="B465" s="213" t="s">
        <v>130</v>
      </c>
      <c r="C465" s="213"/>
      <c r="D465" s="213"/>
      <c r="E465" s="213"/>
      <c r="F465" s="213"/>
      <c r="G465" s="264"/>
    </row>
    <row r="466" spans="1:11" x14ac:dyDescent="0.2">
      <c r="A466" s="243" t="s">
        <v>160</v>
      </c>
      <c r="B466" s="244" t="s">
        <v>255</v>
      </c>
      <c r="C466" s="255"/>
      <c r="D466" s="246"/>
      <c r="E466" s="247"/>
      <c r="F466" s="246"/>
      <c r="G466" s="284"/>
    </row>
    <row r="467" spans="1:11" x14ac:dyDescent="0.2">
      <c r="A467" s="88" t="s">
        <v>141</v>
      </c>
      <c r="B467" s="311" t="s">
        <v>256</v>
      </c>
      <c r="C467" s="312"/>
      <c r="D467" s="91"/>
      <c r="E467" s="92"/>
      <c r="F467" s="91"/>
      <c r="G467" s="313"/>
    </row>
    <row r="468" spans="1:11" x14ac:dyDescent="0.2">
      <c r="A468" s="314" t="s">
        <v>155</v>
      </c>
      <c r="B468" s="315" t="s">
        <v>257</v>
      </c>
      <c r="C468" s="316" t="s">
        <v>107</v>
      </c>
      <c r="D468" s="317"/>
      <c r="E468" s="318"/>
      <c r="F468" s="112"/>
      <c r="G468" s="261"/>
    </row>
    <row r="469" spans="1:11" ht="57" customHeight="1" x14ac:dyDescent="0.2">
      <c r="A469" s="137"/>
      <c r="B469" s="101" t="s">
        <v>402</v>
      </c>
      <c r="C469" s="102" t="s">
        <v>8</v>
      </c>
      <c r="D469" s="103">
        <v>16</v>
      </c>
      <c r="E469" s="85"/>
      <c r="F469" s="79"/>
      <c r="G469" s="80">
        <f>(D469*E469)+(D469*F469)</f>
        <v>0</v>
      </c>
    </row>
    <row r="470" spans="1:11" x14ac:dyDescent="0.2">
      <c r="A470" s="314" t="s">
        <v>156</v>
      </c>
      <c r="B470" s="315" t="s">
        <v>258</v>
      </c>
      <c r="C470" s="316" t="s">
        <v>107</v>
      </c>
      <c r="D470" s="317"/>
      <c r="E470" s="318"/>
      <c r="F470" s="112"/>
      <c r="G470" s="261"/>
    </row>
    <row r="471" spans="1:11" ht="48" x14ac:dyDescent="0.2">
      <c r="A471" s="137"/>
      <c r="B471" s="101" t="s">
        <v>403</v>
      </c>
      <c r="C471" s="102" t="s">
        <v>8</v>
      </c>
      <c r="D471" s="103">
        <v>8</v>
      </c>
      <c r="E471" s="85"/>
      <c r="F471" s="79"/>
      <c r="G471" s="80">
        <f>(D471*E471)+(D471*F471)</f>
        <v>0</v>
      </c>
    </row>
    <row r="472" spans="1:11" x14ac:dyDescent="0.2">
      <c r="A472" s="314" t="s">
        <v>142</v>
      </c>
      <c r="B472" s="315" t="s">
        <v>285</v>
      </c>
      <c r="C472" s="316" t="s">
        <v>107</v>
      </c>
      <c r="D472" s="317">
        <v>0</v>
      </c>
      <c r="E472" s="318"/>
      <c r="F472" s="112"/>
      <c r="G472" s="261"/>
    </row>
    <row r="473" spans="1:11" ht="60" x14ac:dyDescent="0.2">
      <c r="A473" s="137"/>
      <c r="B473" s="101" t="s">
        <v>286</v>
      </c>
      <c r="C473" s="102" t="s">
        <v>261</v>
      </c>
      <c r="D473" s="103">
        <v>22.6</v>
      </c>
      <c r="E473" s="85"/>
      <c r="F473" s="79"/>
      <c r="G473" s="80">
        <f>(D473*E473)+(D473*F473)</f>
        <v>0</v>
      </c>
    </row>
    <row r="474" spans="1:11" x14ac:dyDescent="0.2">
      <c r="A474" s="314" t="s">
        <v>53</v>
      </c>
      <c r="B474" s="315" t="s">
        <v>259</v>
      </c>
      <c r="C474" s="316" t="s">
        <v>107</v>
      </c>
      <c r="D474" s="317"/>
      <c r="E474" s="318"/>
      <c r="F474" s="112"/>
      <c r="G474" s="261"/>
    </row>
    <row r="475" spans="1:11" ht="48" x14ac:dyDescent="0.2">
      <c r="A475" s="137"/>
      <c r="B475" s="101" t="s">
        <v>260</v>
      </c>
      <c r="C475" s="102" t="s">
        <v>261</v>
      </c>
      <c r="D475" s="103">
        <v>403.5</v>
      </c>
      <c r="E475" s="85"/>
      <c r="F475" s="79"/>
      <c r="G475" s="80">
        <f>(D475*E475)+(D475*F475)</f>
        <v>0</v>
      </c>
      <c r="I475" s="22">
        <f>22.6*17</f>
        <v>384.20000000000005</v>
      </c>
      <c r="J475" s="22">
        <f>I475*105%</f>
        <v>403.41000000000008</v>
      </c>
    </row>
    <row r="476" spans="1:11" x14ac:dyDescent="0.2">
      <c r="A476" s="314" t="s">
        <v>143</v>
      </c>
      <c r="B476" s="315" t="s">
        <v>262</v>
      </c>
      <c r="C476" s="316" t="s">
        <v>107</v>
      </c>
      <c r="D476" s="317"/>
      <c r="E476" s="318"/>
      <c r="F476" s="112"/>
      <c r="G476" s="261"/>
    </row>
    <row r="477" spans="1:11" ht="24" x14ac:dyDescent="0.2">
      <c r="A477" s="137"/>
      <c r="B477" s="101" t="s">
        <v>263</v>
      </c>
      <c r="C477" s="177" t="s">
        <v>133</v>
      </c>
      <c r="D477" s="103">
        <v>323.2</v>
      </c>
      <c r="E477" s="85"/>
      <c r="F477" s="79"/>
      <c r="G477" s="80">
        <f>(D477*E477)+(D477*F477)</f>
        <v>0</v>
      </c>
      <c r="I477" s="22">
        <f>22.6*11.2</f>
        <v>253.12</v>
      </c>
      <c r="J477" s="22">
        <f>3.1*22.6</f>
        <v>70.06</v>
      </c>
      <c r="K477" s="22">
        <f>SUM(I477:J477)</f>
        <v>323.18</v>
      </c>
    </row>
    <row r="478" spans="1:11" x14ac:dyDescent="0.2">
      <c r="A478" s="314" t="s">
        <v>144</v>
      </c>
      <c r="B478" s="315" t="s">
        <v>264</v>
      </c>
      <c r="C478" s="316" t="s">
        <v>107</v>
      </c>
      <c r="D478" s="317"/>
      <c r="E478" s="318"/>
      <c r="F478" s="112"/>
      <c r="G478" s="261"/>
    </row>
    <row r="479" spans="1:11" ht="36" x14ac:dyDescent="0.2">
      <c r="A479" s="137"/>
      <c r="B479" s="101" t="s">
        <v>265</v>
      </c>
      <c r="C479" s="177" t="s">
        <v>133</v>
      </c>
      <c r="D479" s="103">
        <f>D477</f>
        <v>323.2</v>
      </c>
      <c r="E479" s="85"/>
      <c r="F479" s="79"/>
      <c r="G479" s="80">
        <f>(D479*E479)+(D479*F479)</f>
        <v>0</v>
      </c>
    </row>
    <row r="480" spans="1:11" x14ac:dyDescent="0.2">
      <c r="A480" s="314" t="s">
        <v>145</v>
      </c>
      <c r="B480" s="315" t="s">
        <v>266</v>
      </c>
      <c r="C480" s="316" t="s">
        <v>107</v>
      </c>
      <c r="D480" s="317"/>
      <c r="E480" s="318"/>
      <c r="F480" s="112"/>
      <c r="G480" s="261"/>
    </row>
    <row r="481" spans="1:11" ht="24" x14ac:dyDescent="0.2">
      <c r="A481" s="137"/>
      <c r="B481" s="101" t="s">
        <v>267</v>
      </c>
      <c r="C481" s="177" t="s">
        <v>133</v>
      </c>
      <c r="D481" s="103">
        <f>D479</f>
        <v>323.2</v>
      </c>
      <c r="E481" s="85"/>
      <c r="F481" s="79"/>
      <c r="G481" s="80">
        <f>(D481*E481)+(D481*F481)</f>
        <v>0</v>
      </c>
    </row>
    <row r="482" spans="1:11" x14ac:dyDescent="0.2">
      <c r="A482" s="314" t="s">
        <v>269</v>
      </c>
      <c r="B482" s="315" t="s">
        <v>268</v>
      </c>
      <c r="C482" s="316" t="s">
        <v>107</v>
      </c>
      <c r="D482" s="317"/>
      <c r="E482" s="318"/>
      <c r="F482" s="112"/>
      <c r="G482" s="261"/>
    </row>
    <row r="483" spans="1:11" ht="13.5" customHeight="1" x14ac:dyDescent="0.2">
      <c r="A483" s="140" t="s">
        <v>445</v>
      </c>
      <c r="B483" s="101" t="s">
        <v>272</v>
      </c>
      <c r="C483" s="177" t="s">
        <v>118</v>
      </c>
      <c r="D483" s="103">
        <v>23</v>
      </c>
      <c r="E483" s="85"/>
      <c r="F483" s="79"/>
      <c r="G483" s="80">
        <f>(D483*E483)+(D483*F483)</f>
        <v>0</v>
      </c>
      <c r="I483" s="22">
        <v>22.6</v>
      </c>
    </row>
    <row r="484" spans="1:11" ht="15.75" customHeight="1" x14ac:dyDescent="0.2">
      <c r="A484" s="140" t="s">
        <v>446</v>
      </c>
      <c r="B484" s="101" t="s">
        <v>404</v>
      </c>
      <c r="C484" s="177" t="s">
        <v>118</v>
      </c>
      <c r="D484" s="103">
        <v>30</v>
      </c>
      <c r="E484" s="85"/>
      <c r="F484" s="79"/>
      <c r="G484" s="80">
        <f>(D484*E484)+(D484*F484)</f>
        <v>0</v>
      </c>
      <c r="I484" s="22">
        <f>5.8*4</f>
        <v>23.2</v>
      </c>
      <c r="J484" s="22">
        <f>3.1*2</f>
        <v>6.2</v>
      </c>
      <c r="K484" s="22">
        <f>SUM(I484:J484)</f>
        <v>29.4</v>
      </c>
    </row>
    <row r="485" spans="1:11" ht="48" x14ac:dyDescent="0.2">
      <c r="A485" s="140" t="s">
        <v>447</v>
      </c>
      <c r="B485" s="101" t="s">
        <v>448</v>
      </c>
      <c r="C485" s="177" t="s">
        <v>118</v>
      </c>
      <c r="D485" s="103">
        <v>23</v>
      </c>
      <c r="E485" s="85"/>
      <c r="F485" s="79"/>
      <c r="G485" s="80">
        <f>(D485*E485)+(D485*F485)</f>
        <v>0</v>
      </c>
    </row>
    <row r="486" spans="1:11" x14ac:dyDescent="0.2">
      <c r="A486" s="137"/>
      <c r="B486" s="101"/>
      <c r="C486" s="177"/>
      <c r="D486" s="103"/>
      <c r="E486" s="85"/>
      <c r="F486" s="79"/>
      <c r="G486" s="80"/>
    </row>
    <row r="487" spans="1:11" x14ac:dyDescent="0.2">
      <c r="A487" s="314" t="s">
        <v>287</v>
      </c>
      <c r="B487" s="315" t="s">
        <v>270</v>
      </c>
      <c r="C487" s="316" t="s">
        <v>107</v>
      </c>
      <c r="D487" s="317"/>
      <c r="E487" s="318"/>
      <c r="F487" s="112"/>
      <c r="G487" s="261"/>
    </row>
    <row r="488" spans="1:11" ht="24" x14ac:dyDescent="0.2">
      <c r="A488" s="137"/>
      <c r="B488" s="101" t="s">
        <v>271</v>
      </c>
      <c r="C488" s="177" t="s">
        <v>118</v>
      </c>
      <c r="D488" s="103">
        <v>68.400000000000006</v>
      </c>
      <c r="E488" s="85"/>
      <c r="F488" s="79"/>
      <c r="G488" s="80">
        <f>(D488*E488)+(D488*F488)</f>
        <v>0</v>
      </c>
      <c r="I488" s="22">
        <f>22.6*3</f>
        <v>67.800000000000011</v>
      </c>
      <c r="J488" s="22">
        <f>+I488+0.6</f>
        <v>68.400000000000006</v>
      </c>
    </row>
    <row r="489" spans="1:11" x14ac:dyDescent="0.2">
      <c r="A489" s="137"/>
      <c r="B489" s="101"/>
      <c r="C489" s="102"/>
      <c r="D489" s="103"/>
      <c r="E489" s="85"/>
      <c r="F489" s="79"/>
      <c r="G489" s="80"/>
    </row>
    <row r="490" spans="1:11" x14ac:dyDescent="0.2">
      <c r="A490" s="137"/>
      <c r="B490" s="101"/>
      <c r="C490" s="102"/>
      <c r="D490" s="103"/>
      <c r="E490" s="85"/>
      <c r="F490" s="79"/>
      <c r="G490" s="80"/>
    </row>
    <row r="491" spans="1:11" x14ac:dyDescent="0.2">
      <c r="A491" s="137"/>
      <c r="B491" s="101"/>
      <c r="C491" s="102"/>
      <c r="D491" s="103"/>
      <c r="E491" s="85"/>
      <c r="F491" s="79"/>
      <c r="G491" s="80"/>
    </row>
    <row r="492" spans="1:11" ht="12.75" thickBot="1" x14ac:dyDescent="0.25">
      <c r="A492" s="137"/>
      <c r="B492" s="101"/>
      <c r="C492" s="102"/>
      <c r="D492" s="103"/>
      <c r="E492" s="85"/>
      <c r="F492" s="79"/>
      <c r="G492" s="80"/>
    </row>
    <row r="493" spans="1:11" x14ac:dyDescent="0.2">
      <c r="A493" s="378"/>
      <c r="B493" s="357" t="s">
        <v>180</v>
      </c>
      <c r="C493" s="366"/>
      <c r="D493" s="359"/>
      <c r="E493" s="193"/>
      <c r="F493" s="373"/>
      <c r="G493" s="374"/>
    </row>
    <row r="494" spans="1:11" ht="12.75" thickBot="1" x14ac:dyDescent="0.25">
      <c r="A494" s="394"/>
      <c r="B494" s="352" t="s">
        <v>115</v>
      </c>
      <c r="C494" s="367"/>
      <c r="D494" s="362"/>
      <c r="E494" s="363"/>
      <c r="F494" s="354"/>
      <c r="G494" s="356">
        <f>SUM(G469:G493)</f>
        <v>0</v>
      </c>
    </row>
    <row r="495" spans="1:11" x14ac:dyDescent="0.2">
      <c r="A495" s="176"/>
      <c r="B495" s="397" t="s">
        <v>116</v>
      </c>
      <c r="C495" s="387"/>
      <c r="D495" s="56"/>
      <c r="E495" s="388"/>
      <c r="F495" s="86"/>
      <c r="G495" s="375"/>
    </row>
    <row r="496" spans="1:11" x14ac:dyDescent="0.2">
      <c r="A496" s="176"/>
      <c r="B496" s="390" t="s">
        <v>121</v>
      </c>
      <c r="C496" s="387"/>
      <c r="D496" s="56"/>
      <c r="E496" s="388"/>
      <c r="F496" s="86"/>
      <c r="G496" s="375"/>
    </row>
    <row r="497" spans="1:7" x14ac:dyDescent="0.2">
      <c r="A497" s="137" t="s">
        <v>117</v>
      </c>
      <c r="B497" s="398" t="s">
        <v>39</v>
      </c>
      <c r="C497" s="387"/>
      <c r="D497" s="56"/>
      <c r="E497" s="388"/>
      <c r="F497" s="86"/>
      <c r="G497" s="375"/>
    </row>
    <row r="498" spans="1:7" ht="28.5" customHeight="1" x14ac:dyDescent="0.2">
      <c r="A498" s="176"/>
      <c r="B498" s="452" t="s">
        <v>152</v>
      </c>
      <c r="C498" s="452"/>
      <c r="D498" s="452"/>
      <c r="E498" s="452"/>
      <c r="F498" s="452"/>
      <c r="G498" s="377"/>
    </row>
    <row r="499" spans="1:7" ht="27.75" customHeight="1" x14ac:dyDescent="0.2">
      <c r="A499" s="232"/>
      <c r="B499" s="452" t="s">
        <v>151</v>
      </c>
      <c r="C499" s="452"/>
      <c r="D499" s="452"/>
      <c r="E499" s="452"/>
      <c r="F499" s="452"/>
      <c r="G499" s="377"/>
    </row>
    <row r="500" spans="1:7" ht="12.75" customHeight="1" x14ac:dyDescent="0.2">
      <c r="A500" s="176"/>
      <c r="B500" s="452" t="s">
        <v>435</v>
      </c>
      <c r="C500" s="452"/>
      <c r="D500" s="452"/>
      <c r="E500" s="452"/>
      <c r="F500" s="452"/>
      <c r="G500" s="377"/>
    </row>
    <row r="501" spans="1:7" ht="49.5" customHeight="1" x14ac:dyDescent="0.2">
      <c r="A501" s="176"/>
      <c r="B501" s="452" t="s">
        <v>150</v>
      </c>
      <c r="C501" s="452"/>
      <c r="D501" s="452"/>
      <c r="E501" s="452"/>
      <c r="F501" s="452"/>
      <c r="G501" s="377"/>
    </row>
    <row r="502" spans="1:7" ht="13.5" customHeight="1" x14ac:dyDescent="0.2">
      <c r="A502" s="176"/>
      <c r="B502" s="452" t="s">
        <v>436</v>
      </c>
      <c r="C502" s="452"/>
      <c r="D502" s="452"/>
      <c r="E502" s="452"/>
      <c r="F502" s="452"/>
      <c r="G502" s="377"/>
    </row>
    <row r="503" spans="1:7" ht="12" customHeight="1" thickBot="1" x14ac:dyDescent="0.25">
      <c r="A503" s="360"/>
      <c r="B503" s="399"/>
      <c r="C503" s="399"/>
      <c r="D503" s="399"/>
      <c r="E503" s="399"/>
      <c r="F503" s="399"/>
      <c r="G503" s="380"/>
    </row>
    <row r="504" spans="1:7" x14ac:dyDescent="0.2">
      <c r="A504" s="142" t="s">
        <v>141</v>
      </c>
      <c r="B504" s="143" t="s">
        <v>62</v>
      </c>
      <c r="C504" s="144"/>
      <c r="D504" s="145"/>
      <c r="E504" s="146"/>
      <c r="F504" s="72"/>
      <c r="G504" s="73">
        <f>D504*E504</f>
        <v>0</v>
      </c>
    </row>
    <row r="505" spans="1:7" x14ac:dyDescent="0.2">
      <c r="A505" s="147" t="s">
        <v>155</v>
      </c>
      <c r="B505" s="148" t="s">
        <v>382</v>
      </c>
      <c r="C505" s="135"/>
      <c r="D505" s="149"/>
      <c r="E505" s="119"/>
      <c r="F505" s="136"/>
      <c r="G505" s="150"/>
    </row>
    <row r="506" spans="1:7" ht="13.5" customHeight="1" x14ac:dyDescent="0.2">
      <c r="A506" s="151" t="s">
        <v>171</v>
      </c>
      <c r="B506" s="83" t="s">
        <v>383</v>
      </c>
      <c r="C506" s="152" t="s">
        <v>15</v>
      </c>
      <c r="D506" s="84">
        <v>1</v>
      </c>
      <c r="E506" s="85"/>
      <c r="F506" s="79"/>
      <c r="G506" s="80">
        <f>(D506*E506)+(D506*F506)</f>
        <v>0</v>
      </c>
    </row>
    <row r="507" spans="1:7" ht="24" x14ac:dyDescent="0.2">
      <c r="A507" s="151" t="s">
        <v>172</v>
      </c>
      <c r="B507" s="83" t="s">
        <v>384</v>
      </c>
      <c r="C507" s="152" t="s">
        <v>15</v>
      </c>
      <c r="D507" s="84">
        <v>1</v>
      </c>
      <c r="E507" s="85"/>
      <c r="F507" s="79"/>
      <c r="G507" s="80">
        <f>(D507*E507)+(D507*F507)</f>
        <v>0</v>
      </c>
    </row>
    <row r="508" spans="1:7" ht="37.5" customHeight="1" x14ac:dyDescent="0.2">
      <c r="A508" s="151" t="s">
        <v>173</v>
      </c>
      <c r="B508" s="83" t="s">
        <v>385</v>
      </c>
      <c r="C508" s="152" t="s">
        <v>107</v>
      </c>
      <c r="D508" s="84">
        <v>1</v>
      </c>
      <c r="E508" s="85"/>
      <c r="F508" s="79"/>
      <c r="G508" s="80">
        <f>(D508*E508)+(D508*F508)</f>
        <v>0</v>
      </c>
    </row>
    <row r="509" spans="1:7" x14ac:dyDescent="0.2">
      <c r="A509" s="147" t="s">
        <v>156</v>
      </c>
      <c r="B509" s="153" t="s">
        <v>386</v>
      </c>
      <c r="C509" s="135"/>
      <c r="D509" s="149"/>
      <c r="E509" s="119"/>
      <c r="F509" s="120"/>
      <c r="G509" s="121">
        <f>D509*E509</f>
        <v>0</v>
      </c>
    </row>
    <row r="510" spans="1:7" x14ac:dyDescent="0.2">
      <c r="A510" s="151"/>
      <c r="B510" s="83" t="s">
        <v>387</v>
      </c>
      <c r="C510" s="152" t="s">
        <v>107</v>
      </c>
      <c r="D510" s="84">
        <v>3</v>
      </c>
      <c r="E510" s="85"/>
      <c r="F510" s="79"/>
      <c r="G510" s="80">
        <f>(D510*E510)+(D510*F510)</f>
        <v>0</v>
      </c>
    </row>
    <row r="511" spans="1:7" x14ac:dyDescent="0.2">
      <c r="A511" s="151"/>
      <c r="B511" s="83" t="s">
        <v>388</v>
      </c>
      <c r="C511" s="152" t="s">
        <v>107</v>
      </c>
      <c r="D511" s="84">
        <v>1</v>
      </c>
      <c r="E511" s="85"/>
      <c r="F511" s="79"/>
      <c r="G511" s="80">
        <f t="shared" ref="G511:G524" si="49">(D511*E511)+(D511*F511)</f>
        <v>0</v>
      </c>
    </row>
    <row r="512" spans="1:7" x14ac:dyDescent="0.2">
      <c r="A512" s="151"/>
      <c r="B512" s="83" t="s">
        <v>389</v>
      </c>
      <c r="C512" s="152" t="s">
        <v>107</v>
      </c>
      <c r="D512" s="84">
        <f>D511</f>
        <v>1</v>
      </c>
      <c r="E512" s="85"/>
      <c r="F512" s="79"/>
      <c r="G512" s="80">
        <f t="shared" si="49"/>
        <v>0</v>
      </c>
    </row>
    <row r="513" spans="1:10" x14ac:dyDescent="0.2">
      <c r="A513" s="151"/>
      <c r="B513" s="83" t="s">
        <v>390</v>
      </c>
      <c r="C513" s="152" t="s">
        <v>107</v>
      </c>
      <c r="D513" s="84">
        <f>D510</f>
        <v>3</v>
      </c>
      <c r="E513" s="85"/>
      <c r="F513" s="79"/>
      <c r="G513" s="80">
        <f t="shared" si="49"/>
        <v>0</v>
      </c>
    </row>
    <row r="514" spans="1:10" x14ac:dyDescent="0.2">
      <c r="A514" s="151"/>
      <c r="B514" s="83" t="s">
        <v>391</v>
      </c>
      <c r="C514" s="152" t="s">
        <v>107</v>
      </c>
      <c r="D514" s="84">
        <f>D510</f>
        <v>3</v>
      </c>
      <c r="E514" s="85"/>
      <c r="F514" s="79"/>
      <c r="G514" s="80">
        <f t="shared" si="49"/>
        <v>0</v>
      </c>
    </row>
    <row r="515" spans="1:10" x14ac:dyDescent="0.2">
      <c r="A515" s="151"/>
      <c r="B515" s="83" t="s">
        <v>392</v>
      </c>
      <c r="C515" s="152" t="s">
        <v>107</v>
      </c>
      <c r="D515" s="84">
        <f>D510</f>
        <v>3</v>
      </c>
      <c r="E515" s="85"/>
      <c r="F515" s="79"/>
      <c r="G515" s="80">
        <f t="shared" si="49"/>
        <v>0</v>
      </c>
    </row>
    <row r="516" spans="1:10" x14ac:dyDescent="0.2">
      <c r="A516" s="151"/>
      <c r="B516" s="83" t="s">
        <v>393</v>
      </c>
      <c r="C516" s="152" t="s">
        <v>107</v>
      </c>
      <c r="D516" s="84">
        <v>5</v>
      </c>
      <c r="E516" s="85"/>
      <c r="F516" s="79"/>
      <c r="G516" s="80">
        <f t="shared" si="49"/>
        <v>0</v>
      </c>
    </row>
    <row r="517" spans="1:10" x14ac:dyDescent="0.2">
      <c r="A517" s="151"/>
      <c r="B517" s="83" t="s">
        <v>394</v>
      </c>
      <c r="C517" s="152" t="s">
        <v>107</v>
      </c>
      <c r="D517" s="84">
        <f>D510</f>
        <v>3</v>
      </c>
      <c r="E517" s="85"/>
      <c r="F517" s="79"/>
      <c r="G517" s="80">
        <f t="shared" si="49"/>
        <v>0</v>
      </c>
    </row>
    <row r="518" spans="1:10" x14ac:dyDescent="0.2">
      <c r="A518" s="151"/>
      <c r="B518" s="83" t="s">
        <v>395</v>
      </c>
      <c r="C518" s="152" t="s">
        <v>107</v>
      </c>
      <c r="D518" s="84">
        <v>1</v>
      </c>
      <c r="E518" s="85"/>
      <c r="F518" s="79"/>
      <c r="G518" s="80">
        <f t="shared" si="49"/>
        <v>0</v>
      </c>
    </row>
    <row r="519" spans="1:10" x14ac:dyDescent="0.2">
      <c r="A519" s="151"/>
      <c r="B519" s="83" t="s">
        <v>396</v>
      </c>
      <c r="C519" s="152" t="s">
        <v>107</v>
      </c>
      <c r="D519" s="84">
        <v>4</v>
      </c>
      <c r="E519" s="85"/>
      <c r="F519" s="79"/>
      <c r="G519" s="80">
        <f t="shared" si="49"/>
        <v>0</v>
      </c>
    </row>
    <row r="520" spans="1:10" x14ac:dyDescent="0.2">
      <c r="A520" s="151"/>
      <c r="B520" s="83" t="s">
        <v>397</v>
      </c>
      <c r="C520" s="152" t="s">
        <v>107</v>
      </c>
      <c r="D520" s="84">
        <v>3</v>
      </c>
      <c r="E520" s="85"/>
      <c r="F520" s="79"/>
      <c r="G520" s="80">
        <f t="shared" si="49"/>
        <v>0</v>
      </c>
    </row>
    <row r="521" spans="1:10" x14ac:dyDescent="0.2">
      <c r="A521" s="147" t="s">
        <v>156</v>
      </c>
      <c r="B521" s="154" t="s">
        <v>191</v>
      </c>
      <c r="C521" s="155"/>
      <c r="D521" s="149"/>
      <c r="E521" s="119"/>
      <c r="F521" s="120"/>
      <c r="G521" s="121">
        <f t="shared" si="49"/>
        <v>0</v>
      </c>
    </row>
    <row r="522" spans="1:10" ht="51" customHeight="1" x14ac:dyDescent="0.2">
      <c r="A522" s="151" t="s">
        <v>155</v>
      </c>
      <c r="B522" s="83" t="s">
        <v>398</v>
      </c>
      <c r="C522" s="152" t="s">
        <v>15</v>
      </c>
      <c r="D522" s="84">
        <v>1</v>
      </c>
      <c r="E522" s="85"/>
      <c r="F522" s="79"/>
      <c r="G522" s="80">
        <f t="shared" si="49"/>
        <v>0</v>
      </c>
    </row>
    <row r="523" spans="1:10" ht="40.5" customHeight="1" x14ac:dyDescent="0.2">
      <c r="A523" s="151" t="s">
        <v>156</v>
      </c>
      <c r="B523" s="83" t="s">
        <v>399</v>
      </c>
      <c r="C523" s="152" t="s">
        <v>15</v>
      </c>
      <c r="D523" s="84">
        <v>1</v>
      </c>
      <c r="E523" s="85"/>
      <c r="F523" s="79"/>
      <c r="G523" s="80">
        <f t="shared" si="49"/>
        <v>0</v>
      </c>
    </row>
    <row r="524" spans="1:10" ht="65.25" customHeight="1" x14ac:dyDescent="0.2">
      <c r="A524" s="151" t="s">
        <v>164</v>
      </c>
      <c r="B524" s="83" t="s">
        <v>400</v>
      </c>
      <c r="C524" s="76" t="s">
        <v>131</v>
      </c>
      <c r="D524" s="84">
        <v>1.8</v>
      </c>
      <c r="E524" s="85"/>
      <c r="F524" s="79"/>
      <c r="G524" s="80">
        <f t="shared" si="49"/>
        <v>0</v>
      </c>
      <c r="I524" s="31"/>
      <c r="J524" s="31"/>
    </row>
    <row r="525" spans="1:10" ht="12" customHeight="1" x14ac:dyDescent="0.2">
      <c r="A525" s="151"/>
      <c r="B525" s="83"/>
      <c r="C525" s="76"/>
      <c r="D525" s="84"/>
      <c r="E525" s="85"/>
      <c r="F525" s="79"/>
      <c r="G525" s="80"/>
      <c r="I525" s="31"/>
      <c r="J525" s="31"/>
    </row>
    <row r="526" spans="1:10" x14ac:dyDescent="0.2">
      <c r="A526" s="142" t="s">
        <v>142</v>
      </c>
      <c r="B526" s="143" t="s">
        <v>230</v>
      </c>
      <c r="C526" s="144"/>
      <c r="D526" s="145"/>
      <c r="E526" s="146"/>
      <c r="F526" s="72"/>
      <c r="G526" s="73"/>
    </row>
    <row r="527" spans="1:10" x14ac:dyDescent="0.2">
      <c r="A527" s="147" t="s">
        <v>155</v>
      </c>
      <c r="B527" s="154" t="s">
        <v>191</v>
      </c>
      <c r="C527" s="155"/>
      <c r="D527" s="149"/>
      <c r="E527" s="119"/>
      <c r="F527" s="120"/>
      <c r="G527" s="121">
        <f t="shared" ref="G527:G528" si="50">(D527*E527)+(D527*F527)</f>
        <v>0</v>
      </c>
    </row>
    <row r="528" spans="1:10" ht="45.75" customHeight="1" x14ac:dyDescent="0.2">
      <c r="A528" s="151" t="s">
        <v>155</v>
      </c>
      <c r="B528" s="83" t="s">
        <v>401</v>
      </c>
      <c r="C528" s="152" t="s">
        <v>15</v>
      </c>
      <c r="D528" s="84">
        <v>1</v>
      </c>
      <c r="E528" s="85"/>
      <c r="F528" s="79"/>
      <c r="G528" s="80">
        <f t="shared" si="50"/>
        <v>0</v>
      </c>
    </row>
    <row r="529" spans="1:7" ht="12" customHeight="1" x14ac:dyDescent="0.2">
      <c r="A529" s="151"/>
      <c r="B529" s="83"/>
      <c r="C529" s="152"/>
      <c r="D529" s="84"/>
      <c r="E529" s="85"/>
      <c r="F529" s="79"/>
      <c r="G529" s="80"/>
    </row>
    <row r="530" spans="1:7" ht="12" customHeight="1" thickBot="1" x14ac:dyDescent="0.25">
      <c r="A530" s="151"/>
      <c r="B530" s="83"/>
      <c r="C530" s="152"/>
      <c r="D530" s="84"/>
      <c r="E530" s="85"/>
      <c r="F530" s="79"/>
      <c r="G530" s="80"/>
    </row>
    <row r="531" spans="1:7" x14ac:dyDescent="0.2">
      <c r="A531" s="189"/>
      <c r="B531" s="357" t="s">
        <v>181</v>
      </c>
      <c r="C531" s="366"/>
      <c r="D531" s="359"/>
      <c r="E531" s="193"/>
      <c r="F531" s="373"/>
      <c r="G531" s="374"/>
    </row>
    <row r="532" spans="1:7" ht="12.75" thickBot="1" x14ac:dyDescent="0.25">
      <c r="A532" s="360"/>
      <c r="B532" s="352" t="s">
        <v>119</v>
      </c>
      <c r="C532" s="367"/>
      <c r="D532" s="362"/>
      <c r="E532" s="363"/>
      <c r="F532" s="354"/>
      <c r="G532" s="356">
        <f>SUM(G505:G531)</f>
        <v>0</v>
      </c>
    </row>
    <row r="533" spans="1:7" x14ac:dyDescent="0.2">
      <c r="A533" s="176"/>
      <c r="B533" s="279" t="s">
        <v>120</v>
      </c>
      <c r="C533" s="207"/>
      <c r="D533" s="103"/>
      <c r="E533" s="85"/>
      <c r="F533" s="79"/>
      <c r="G533" s="80"/>
    </row>
    <row r="534" spans="1:7" x14ac:dyDescent="0.2">
      <c r="A534" s="176"/>
      <c r="B534" s="196" t="s">
        <v>92</v>
      </c>
      <c r="C534" s="207"/>
      <c r="D534" s="103"/>
      <c r="E534" s="85"/>
      <c r="F534" s="79"/>
      <c r="G534" s="80"/>
    </row>
    <row r="535" spans="1:7" x14ac:dyDescent="0.2">
      <c r="A535" s="319" t="s">
        <v>122</v>
      </c>
      <c r="B535" s="229" t="s">
        <v>39</v>
      </c>
      <c r="C535" s="207"/>
      <c r="D535" s="103"/>
      <c r="E535" s="320"/>
      <c r="F535" s="79"/>
      <c r="G535" s="80"/>
    </row>
    <row r="536" spans="1:7" ht="25.5" customHeight="1" x14ac:dyDescent="0.2">
      <c r="A536" s="321"/>
      <c r="B536" s="443" t="s">
        <v>235</v>
      </c>
      <c r="C536" s="443"/>
      <c r="D536" s="443"/>
      <c r="E536" s="443"/>
      <c r="F536" s="281"/>
      <c r="G536" s="280"/>
    </row>
    <row r="537" spans="1:7" ht="38.25" customHeight="1" x14ac:dyDescent="0.2">
      <c r="A537" s="321"/>
      <c r="B537" s="444" t="s">
        <v>236</v>
      </c>
      <c r="C537" s="444"/>
      <c r="D537" s="444"/>
      <c r="E537" s="444"/>
      <c r="F537" s="281"/>
      <c r="G537" s="280"/>
    </row>
    <row r="538" spans="1:7" ht="36.75" customHeight="1" x14ac:dyDescent="0.2">
      <c r="A538" s="321"/>
      <c r="B538" s="444" t="s">
        <v>234</v>
      </c>
      <c r="C538" s="444"/>
      <c r="D538" s="444"/>
      <c r="E538" s="444"/>
      <c r="F538" s="281"/>
      <c r="G538" s="280"/>
    </row>
    <row r="539" spans="1:7" ht="26.25" customHeight="1" x14ac:dyDescent="0.2">
      <c r="A539" s="322"/>
      <c r="B539" s="444" t="s">
        <v>311</v>
      </c>
      <c r="C539" s="444"/>
      <c r="D539" s="444"/>
      <c r="E539" s="444"/>
      <c r="F539" s="281"/>
      <c r="G539" s="280"/>
    </row>
    <row r="540" spans="1:7" ht="15" customHeight="1" x14ac:dyDescent="0.2">
      <c r="A540" s="321"/>
      <c r="B540" s="444" t="s">
        <v>312</v>
      </c>
      <c r="C540" s="444"/>
      <c r="D540" s="444"/>
      <c r="E540" s="444"/>
      <c r="F540" s="281"/>
      <c r="G540" s="280"/>
    </row>
    <row r="541" spans="1:7" x14ac:dyDescent="0.2">
      <c r="A541" s="156" t="s">
        <v>141</v>
      </c>
      <c r="B541" s="157" t="s">
        <v>62</v>
      </c>
      <c r="C541" s="158"/>
      <c r="D541" s="159"/>
      <c r="E541" s="160"/>
      <c r="F541" s="161"/>
      <c r="G541" s="162"/>
    </row>
    <row r="542" spans="1:7" ht="12.75" x14ac:dyDescent="0.2">
      <c r="A542" s="163" t="s">
        <v>155</v>
      </c>
      <c r="B542" s="164" t="s">
        <v>197</v>
      </c>
      <c r="C542" s="124"/>
      <c r="D542" s="125"/>
      <c r="E542" s="126"/>
      <c r="F542" s="127"/>
      <c r="G542" s="128">
        <f>D542*E542</f>
        <v>0</v>
      </c>
    </row>
    <row r="543" spans="1:7" ht="68.25" customHeight="1" x14ac:dyDescent="0.2">
      <c r="A543" s="165" t="s">
        <v>171</v>
      </c>
      <c r="B543" s="166" t="s">
        <v>449</v>
      </c>
      <c r="C543" s="167" t="s">
        <v>8</v>
      </c>
      <c r="D543" s="168">
        <v>1</v>
      </c>
      <c r="E543" s="169"/>
      <c r="F543" s="169"/>
      <c r="G543" s="170">
        <f>+D543*E543+D543*F543</f>
        <v>0</v>
      </c>
    </row>
    <row r="544" spans="1:7" ht="44.25" customHeight="1" x14ac:dyDescent="0.2">
      <c r="A544" s="165" t="s">
        <v>172</v>
      </c>
      <c r="B544" s="171" t="s">
        <v>405</v>
      </c>
      <c r="C544" s="167"/>
      <c r="D544" s="168"/>
      <c r="E544" s="126"/>
      <c r="F544" s="169"/>
      <c r="G544" s="170"/>
    </row>
    <row r="545" spans="1:7" ht="12.75" x14ac:dyDescent="0.2">
      <c r="A545" s="165" t="s">
        <v>406</v>
      </c>
      <c r="B545" s="172" t="s">
        <v>407</v>
      </c>
      <c r="C545" s="167" t="s">
        <v>8</v>
      </c>
      <c r="D545" s="168">
        <v>1</v>
      </c>
      <c r="E545" s="126"/>
      <c r="F545" s="169"/>
      <c r="G545" s="170">
        <f t="shared" ref="G545:G586" si="51">+D545*E545+D545*F545</f>
        <v>0</v>
      </c>
    </row>
    <row r="546" spans="1:7" ht="12.75" x14ac:dyDescent="0.2">
      <c r="A546" s="165" t="s">
        <v>408</v>
      </c>
      <c r="B546" s="172" t="s">
        <v>409</v>
      </c>
      <c r="C546" s="167" t="s">
        <v>8</v>
      </c>
      <c r="D546" s="168">
        <v>1</v>
      </c>
      <c r="E546" s="126"/>
      <c r="F546" s="169"/>
      <c r="G546" s="170">
        <f t="shared" si="51"/>
        <v>0</v>
      </c>
    </row>
    <row r="547" spans="1:7" ht="12.75" x14ac:dyDescent="0.2">
      <c r="A547" s="163" t="s">
        <v>156</v>
      </c>
      <c r="B547" s="164" t="s">
        <v>198</v>
      </c>
      <c r="C547" s="173"/>
      <c r="D547" s="174"/>
      <c r="E547" s="126"/>
      <c r="F547" s="169"/>
      <c r="G547" s="175">
        <f t="shared" si="51"/>
        <v>0</v>
      </c>
    </row>
    <row r="548" spans="1:7" ht="12.75" x14ac:dyDescent="0.2">
      <c r="A548" s="165"/>
      <c r="B548" s="172" t="s">
        <v>410</v>
      </c>
      <c r="C548" s="124" t="s">
        <v>8</v>
      </c>
      <c r="D548" s="125">
        <v>24</v>
      </c>
      <c r="E548" s="126"/>
      <c r="F548" s="169"/>
      <c r="G548" s="175">
        <f t="shared" si="51"/>
        <v>0</v>
      </c>
    </row>
    <row r="549" spans="1:7" ht="12.75" x14ac:dyDescent="0.2">
      <c r="A549" s="165"/>
      <c r="B549" s="172" t="s">
        <v>411</v>
      </c>
      <c r="C549" s="124" t="s">
        <v>8</v>
      </c>
      <c r="D549" s="125">
        <v>8</v>
      </c>
      <c r="E549" s="126"/>
      <c r="F549" s="169"/>
      <c r="G549" s="175">
        <f t="shared" si="51"/>
        <v>0</v>
      </c>
    </row>
    <row r="550" spans="1:7" ht="12.75" x14ac:dyDescent="0.2">
      <c r="A550" s="165"/>
      <c r="B550" s="172" t="s">
        <v>412</v>
      </c>
      <c r="C550" s="124" t="s">
        <v>8</v>
      </c>
      <c r="D550" s="125">
        <v>11</v>
      </c>
      <c r="E550" s="126"/>
      <c r="F550" s="169"/>
      <c r="G550" s="175">
        <f t="shared" si="51"/>
        <v>0</v>
      </c>
    </row>
    <row r="551" spans="1:7" ht="12.75" x14ac:dyDescent="0.2">
      <c r="A551" s="165"/>
      <c r="B551" s="172" t="s">
        <v>413</v>
      </c>
      <c r="C551" s="124" t="s">
        <v>8</v>
      </c>
      <c r="D551" s="125">
        <v>9</v>
      </c>
      <c r="E551" s="126"/>
      <c r="F551" s="169"/>
      <c r="G551" s="175">
        <f t="shared" si="51"/>
        <v>0</v>
      </c>
    </row>
    <row r="552" spans="1:7" ht="12.75" x14ac:dyDescent="0.2">
      <c r="A552" s="165"/>
      <c r="B552" s="172" t="s">
        <v>414</v>
      </c>
      <c r="C552" s="124" t="s">
        <v>8</v>
      </c>
      <c r="D552" s="125">
        <v>12</v>
      </c>
      <c r="E552" s="126"/>
      <c r="F552" s="169"/>
      <c r="G552" s="175">
        <f t="shared" si="51"/>
        <v>0</v>
      </c>
    </row>
    <row r="553" spans="1:7" ht="12.75" x14ac:dyDescent="0.2">
      <c r="A553" s="165"/>
      <c r="B553" s="172" t="s">
        <v>431</v>
      </c>
      <c r="C553" s="124" t="s">
        <v>8</v>
      </c>
      <c r="D553" s="125">
        <v>3</v>
      </c>
      <c r="E553" s="126"/>
      <c r="F553" s="169"/>
      <c r="G553" s="175">
        <f t="shared" ref="G553" si="52">+D553*E553+D553*F553</f>
        <v>0</v>
      </c>
    </row>
    <row r="554" spans="1:7" ht="12.75" x14ac:dyDescent="0.2">
      <c r="A554" s="165"/>
      <c r="B554" s="172" t="s">
        <v>432</v>
      </c>
      <c r="C554" s="167" t="s">
        <v>8</v>
      </c>
      <c r="D554" s="168">
        <v>18</v>
      </c>
      <c r="E554" s="126"/>
      <c r="F554" s="169"/>
      <c r="G554" s="175">
        <f t="shared" si="51"/>
        <v>0</v>
      </c>
    </row>
    <row r="555" spans="1:7" ht="12.75" x14ac:dyDescent="0.2">
      <c r="A555" s="165"/>
      <c r="B555" s="172" t="s">
        <v>276</v>
      </c>
      <c r="C555" s="167" t="s">
        <v>8</v>
      </c>
      <c r="D555" s="168">
        <v>12</v>
      </c>
      <c r="E555" s="126"/>
      <c r="F555" s="169"/>
      <c r="G555" s="175">
        <f t="shared" si="51"/>
        <v>0</v>
      </c>
    </row>
    <row r="556" spans="1:7" ht="12.75" x14ac:dyDescent="0.2">
      <c r="A556" s="165"/>
      <c r="B556" s="172" t="s">
        <v>433</v>
      </c>
      <c r="C556" s="167" t="s">
        <v>8</v>
      </c>
      <c r="D556" s="168">
        <v>5</v>
      </c>
      <c r="E556" s="126"/>
      <c r="F556" s="169"/>
      <c r="G556" s="175">
        <f t="shared" ref="G556" si="53">+D556*E556+D556*F556</f>
        <v>0</v>
      </c>
    </row>
    <row r="557" spans="1:7" ht="12.75" x14ac:dyDescent="0.2">
      <c r="A557" s="165"/>
      <c r="B557" s="172" t="s">
        <v>415</v>
      </c>
      <c r="C557" s="124" t="s">
        <v>8</v>
      </c>
      <c r="D557" s="125">
        <v>5</v>
      </c>
      <c r="E557" s="126"/>
      <c r="F557" s="169"/>
      <c r="G557" s="175">
        <f t="shared" si="51"/>
        <v>0</v>
      </c>
    </row>
    <row r="558" spans="1:7" ht="12.75" x14ac:dyDescent="0.2">
      <c r="A558" s="165"/>
      <c r="B558" s="172" t="s">
        <v>416</v>
      </c>
      <c r="C558" s="124" t="s">
        <v>8</v>
      </c>
      <c r="D558" s="125">
        <v>1</v>
      </c>
      <c r="E558" s="126"/>
      <c r="F558" s="169"/>
      <c r="G558" s="175">
        <f t="shared" si="51"/>
        <v>0</v>
      </c>
    </row>
    <row r="559" spans="1:7" ht="12.75" x14ac:dyDescent="0.2">
      <c r="A559" s="165"/>
      <c r="B559" s="172" t="s">
        <v>417</v>
      </c>
      <c r="C559" s="124" t="s">
        <v>8</v>
      </c>
      <c r="D559" s="125">
        <v>3</v>
      </c>
      <c r="E559" s="126"/>
      <c r="F559" s="169"/>
      <c r="G559" s="175">
        <f t="shared" si="51"/>
        <v>0</v>
      </c>
    </row>
    <row r="560" spans="1:7" ht="12.75" x14ac:dyDescent="0.2">
      <c r="A560" s="165"/>
      <c r="B560" s="172" t="s">
        <v>418</v>
      </c>
      <c r="C560" s="124" t="s">
        <v>8</v>
      </c>
      <c r="D560" s="125">
        <v>9</v>
      </c>
      <c r="E560" s="126"/>
      <c r="F560" s="169"/>
      <c r="G560" s="175">
        <f t="shared" si="51"/>
        <v>0</v>
      </c>
    </row>
    <row r="561" spans="1:7" ht="12.75" x14ac:dyDescent="0.2">
      <c r="A561" s="165"/>
      <c r="B561" s="172" t="s">
        <v>419</v>
      </c>
      <c r="C561" s="124" t="s">
        <v>8</v>
      </c>
      <c r="D561" s="125">
        <f>D552</f>
        <v>12</v>
      </c>
      <c r="E561" s="126"/>
      <c r="F561" s="169"/>
      <c r="G561" s="175">
        <f t="shared" si="51"/>
        <v>0</v>
      </c>
    </row>
    <row r="562" spans="1:7" ht="12.75" x14ac:dyDescent="0.2">
      <c r="A562" s="165"/>
      <c r="B562" s="172" t="s">
        <v>420</v>
      </c>
      <c r="C562" s="124" t="s">
        <v>8</v>
      </c>
      <c r="D562" s="125">
        <v>3</v>
      </c>
      <c r="E562" s="126"/>
      <c r="F562" s="169"/>
      <c r="G562" s="175">
        <f t="shared" si="51"/>
        <v>0</v>
      </c>
    </row>
    <row r="563" spans="1:7" ht="12.75" x14ac:dyDescent="0.2">
      <c r="A563" s="165"/>
      <c r="B563" s="172" t="s">
        <v>421</v>
      </c>
      <c r="C563" s="124" t="s">
        <v>8</v>
      </c>
      <c r="D563" s="125">
        <v>3</v>
      </c>
      <c r="E563" s="126"/>
      <c r="F563" s="169"/>
      <c r="G563" s="175">
        <f t="shared" si="51"/>
        <v>0</v>
      </c>
    </row>
    <row r="564" spans="1:7" ht="12.75" x14ac:dyDescent="0.2">
      <c r="A564" s="165"/>
      <c r="B564" s="172" t="s">
        <v>422</v>
      </c>
      <c r="C564" s="124" t="s">
        <v>8</v>
      </c>
      <c r="D564" s="125">
        <v>3</v>
      </c>
      <c r="E564" s="126"/>
      <c r="F564" s="169"/>
      <c r="G564" s="175">
        <f t="shared" si="51"/>
        <v>0</v>
      </c>
    </row>
    <row r="565" spans="1:7" ht="12.75" x14ac:dyDescent="0.2">
      <c r="A565" s="165"/>
      <c r="B565" s="172" t="s">
        <v>423</v>
      </c>
      <c r="C565" s="124" t="s">
        <v>8</v>
      </c>
      <c r="D565" s="125">
        <v>6</v>
      </c>
      <c r="E565" s="126"/>
      <c r="F565" s="169"/>
      <c r="G565" s="175">
        <f t="shared" si="51"/>
        <v>0</v>
      </c>
    </row>
    <row r="566" spans="1:7" ht="12.75" x14ac:dyDescent="0.2">
      <c r="A566" s="165"/>
      <c r="B566" s="172" t="s">
        <v>424</v>
      </c>
      <c r="C566" s="124" t="s">
        <v>8</v>
      </c>
      <c r="D566" s="125">
        <v>6</v>
      </c>
      <c r="E566" s="126"/>
      <c r="F566" s="169"/>
      <c r="G566" s="175">
        <f t="shared" si="51"/>
        <v>0</v>
      </c>
    </row>
    <row r="567" spans="1:7" ht="12.75" x14ac:dyDescent="0.2">
      <c r="A567" s="165"/>
      <c r="B567" s="172" t="s">
        <v>425</v>
      </c>
      <c r="C567" s="124" t="s">
        <v>8</v>
      </c>
      <c r="D567" s="125">
        <v>3</v>
      </c>
      <c r="E567" s="126"/>
      <c r="F567" s="169"/>
      <c r="G567" s="175">
        <f t="shared" si="51"/>
        <v>0</v>
      </c>
    </row>
    <row r="568" spans="1:7" ht="12.75" x14ac:dyDescent="0.2">
      <c r="A568" s="165"/>
      <c r="B568" s="172"/>
      <c r="C568" s="124"/>
      <c r="D568" s="125"/>
      <c r="E568" s="126"/>
      <c r="F568" s="169"/>
      <c r="G568" s="175"/>
    </row>
    <row r="569" spans="1:7" ht="12.75" x14ac:dyDescent="0.2">
      <c r="A569" s="165"/>
      <c r="B569" s="172"/>
      <c r="C569" s="124"/>
      <c r="D569" s="125"/>
      <c r="E569" s="126"/>
      <c r="F569" s="169"/>
      <c r="G569" s="175"/>
    </row>
    <row r="570" spans="1:7" ht="12.75" x14ac:dyDescent="0.2">
      <c r="A570" s="165"/>
      <c r="B570" s="172"/>
      <c r="C570" s="124"/>
      <c r="D570" s="125"/>
      <c r="E570" s="126"/>
      <c r="F570" s="169"/>
      <c r="G570" s="175"/>
    </row>
    <row r="571" spans="1:7" ht="12.75" x14ac:dyDescent="0.2">
      <c r="A571" s="165"/>
      <c r="B571" s="172"/>
      <c r="C571" s="124"/>
      <c r="D571" s="125"/>
      <c r="E571" s="126"/>
      <c r="F571" s="169"/>
      <c r="G571" s="175"/>
    </row>
    <row r="572" spans="1:7" ht="12.75" x14ac:dyDescent="0.2">
      <c r="A572" s="165"/>
      <c r="B572" s="172"/>
      <c r="C572" s="124"/>
      <c r="D572" s="125"/>
      <c r="E572" s="126"/>
      <c r="F572" s="169"/>
      <c r="G572" s="175"/>
    </row>
    <row r="573" spans="1:7" ht="12.75" x14ac:dyDescent="0.2">
      <c r="A573" s="165"/>
      <c r="B573" s="172"/>
      <c r="C573" s="124"/>
      <c r="D573" s="125"/>
      <c r="E573" s="126"/>
      <c r="F573" s="169"/>
      <c r="G573" s="175"/>
    </row>
    <row r="574" spans="1:7" ht="12.75" x14ac:dyDescent="0.2">
      <c r="A574" s="165"/>
      <c r="B574" s="172"/>
      <c r="C574" s="124"/>
      <c r="D574" s="125"/>
      <c r="E574" s="126"/>
      <c r="F574" s="169"/>
      <c r="G574" s="175"/>
    </row>
    <row r="575" spans="1:7" ht="12.75" x14ac:dyDescent="0.2">
      <c r="A575" s="165"/>
      <c r="B575" s="172"/>
      <c r="C575" s="124"/>
      <c r="D575" s="125"/>
      <c r="E575" s="126"/>
      <c r="F575" s="169"/>
      <c r="G575" s="175"/>
    </row>
    <row r="576" spans="1:7" ht="12.75" x14ac:dyDescent="0.2">
      <c r="A576" s="165"/>
      <c r="B576" s="172"/>
      <c r="C576" s="124"/>
      <c r="D576" s="125"/>
      <c r="E576" s="126"/>
      <c r="F576" s="169"/>
      <c r="G576" s="175"/>
    </row>
    <row r="577" spans="1:9" ht="12.75" x14ac:dyDescent="0.2">
      <c r="A577" s="165"/>
      <c r="B577" s="172"/>
      <c r="C577" s="124"/>
      <c r="D577" s="125"/>
      <c r="E577" s="126"/>
      <c r="F577" s="169"/>
      <c r="G577" s="175"/>
    </row>
    <row r="578" spans="1:9" ht="12.75" x14ac:dyDescent="0.2">
      <c r="A578" s="163" t="s">
        <v>164</v>
      </c>
      <c r="B578" s="164" t="s">
        <v>199</v>
      </c>
      <c r="C578" s="173"/>
      <c r="D578" s="174"/>
      <c r="E578" s="126"/>
      <c r="F578" s="169"/>
      <c r="G578" s="175">
        <f t="shared" si="51"/>
        <v>0</v>
      </c>
    </row>
    <row r="579" spans="1:9" ht="13.5" x14ac:dyDescent="0.2">
      <c r="A579" s="176" t="s">
        <v>155</v>
      </c>
      <c r="B579" s="101" t="s">
        <v>218</v>
      </c>
      <c r="C579" s="177" t="s">
        <v>200</v>
      </c>
      <c r="D579" s="103">
        <f>D548+D551+D552+D550+D549</f>
        <v>64</v>
      </c>
      <c r="E579" s="85"/>
      <c r="F579" s="169"/>
      <c r="G579" s="175">
        <f t="shared" si="51"/>
        <v>0</v>
      </c>
    </row>
    <row r="580" spans="1:9" ht="13.5" x14ac:dyDescent="0.2">
      <c r="A580" s="176" t="s">
        <v>156</v>
      </c>
      <c r="B580" s="101" t="s">
        <v>217</v>
      </c>
      <c r="C580" s="177" t="s">
        <v>200</v>
      </c>
      <c r="D580" s="103">
        <f>D554+D555+D556</f>
        <v>35</v>
      </c>
      <c r="E580" s="85"/>
      <c r="F580" s="169"/>
      <c r="G580" s="175">
        <f t="shared" si="51"/>
        <v>0</v>
      </c>
    </row>
    <row r="581" spans="1:9" ht="13.5" x14ac:dyDescent="0.2">
      <c r="A581" s="176" t="s">
        <v>164</v>
      </c>
      <c r="B581" s="101" t="s">
        <v>219</v>
      </c>
      <c r="C581" s="177" t="s">
        <v>107</v>
      </c>
      <c r="D581" s="103">
        <f>D545+D546</f>
        <v>2</v>
      </c>
      <c r="E581" s="85"/>
      <c r="F581" s="169"/>
      <c r="G581" s="175">
        <f t="shared" si="51"/>
        <v>0</v>
      </c>
    </row>
    <row r="582" spans="1:9" x14ac:dyDescent="0.2">
      <c r="A582" s="176" t="s">
        <v>165</v>
      </c>
      <c r="B582" s="101" t="s">
        <v>426</v>
      </c>
      <c r="C582" s="177" t="s">
        <v>107</v>
      </c>
      <c r="D582" s="103">
        <f>D564</f>
        <v>3</v>
      </c>
      <c r="E582" s="85"/>
      <c r="F582" s="169"/>
      <c r="G582" s="175">
        <f t="shared" si="51"/>
        <v>0</v>
      </c>
    </row>
    <row r="583" spans="1:9" x14ac:dyDescent="0.2">
      <c r="A583" s="176" t="s">
        <v>166</v>
      </c>
      <c r="B583" s="101" t="s">
        <v>427</v>
      </c>
      <c r="C583" s="177" t="s">
        <v>107</v>
      </c>
      <c r="D583" s="103">
        <f>D562</f>
        <v>3</v>
      </c>
      <c r="E583" s="85"/>
      <c r="F583" s="169"/>
      <c r="G583" s="175">
        <f t="shared" si="51"/>
        <v>0</v>
      </c>
    </row>
    <row r="584" spans="1:9" x14ac:dyDescent="0.2">
      <c r="A584" s="176" t="s">
        <v>167</v>
      </c>
      <c r="B584" s="101" t="s">
        <v>428</v>
      </c>
      <c r="C584" s="177" t="s">
        <v>107</v>
      </c>
      <c r="D584" s="103">
        <f>D563</f>
        <v>3</v>
      </c>
      <c r="E584" s="85"/>
      <c r="F584" s="169"/>
      <c r="G584" s="175">
        <f t="shared" si="51"/>
        <v>0</v>
      </c>
    </row>
    <row r="585" spans="1:9" x14ac:dyDescent="0.2">
      <c r="A585" s="176" t="s">
        <v>168</v>
      </c>
      <c r="B585" s="101" t="s">
        <v>429</v>
      </c>
      <c r="C585" s="177" t="s">
        <v>107</v>
      </c>
      <c r="D585" s="103">
        <f>3</f>
        <v>3</v>
      </c>
      <c r="E585" s="85"/>
      <c r="F585" s="169"/>
      <c r="G585" s="175">
        <f t="shared" si="51"/>
        <v>0</v>
      </c>
    </row>
    <row r="586" spans="1:9" ht="12.75" thickBot="1" x14ac:dyDescent="0.25">
      <c r="A586" s="176" t="s">
        <v>169</v>
      </c>
      <c r="B586" s="101" t="s">
        <v>430</v>
      </c>
      <c r="C586" s="177" t="s">
        <v>107</v>
      </c>
      <c r="D586" s="103">
        <f>D565</f>
        <v>6</v>
      </c>
      <c r="E586" s="85"/>
      <c r="F586" s="169"/>
      <c r="G586" s="175">
        <f t="shared" si="51"/>
        <v>0</v>
      </c>
    </row>
    <row r="587" spans="1:9" x14ac:dyDescent="0.2">
      <c r="A587" s="189"/>
      <c r="B587" s="357" t="s">
        <v>170</v>
      </c>
      <c r="C587" s="400"/>
      <c r="D587" s="401"/>
      <c r="E587" s="402"/>
      <c r="F587" s="373"/>
      <c r="G587" s="374"/>
    </row>
    <row r="588" spans="1:9" ht="12.75" thickBot="1" x14ac:dyDescent="0.25">
      <c r="A588" s="360"/>
      <c r="B588" s="352" t="s">
        <v>123</v>
      </c>
      <c r="C588" s="353"/>
      <c r="D588" s="393"/>
      <c r="E588" s="355"/>
      <c r="F588" s="354"/>
      <c r="G588" s="356">
        <f>SUM(G543:G587)</f>
        <v>0</v>
      </c>
      <c r="I588" s="47"/>
    </row>
    <row r="589" spans="1:9" x14ac:dyDescent="0.2">
      <c r="A589" s="422"/>
      <c r="B589" s="423"/>
      <c r="C589" s="424"/>
      <c r="D589" s="425"/>
      <c r="E589" s="426"/>
      <c r="F589" s="384"/>
      <c r="G589" s="427"/>
      <c r="I589" s="47"/>
    </row>
    <row r="590" spans="1:9" x14ac:dyDescent="0.2">
      <c r="A590" s="428"/>
      <c r="B590" s="429"/>
      <c r="C590" s="46"/>
      <c r="D590" s="57"/>
      <c r="E590" s="87"/>
      <c r="F590" s="86"/>
      <c r="G590" s="430"/>
      <c r="I590" s="47"/>
    </row>
    <row r="591" spans="1:9" x14ac:dyDescent="0.2">
      <c r="A591" s="428"/>
      <c r="B591" s="429"/>
      <c r="C591" s="46"/>
      <c r="D591" s="57"/>
      <c r="E591" s="87"/>
      <c r="F591" s="86"/>
      <c r="G591" s="430"/>
      <c r="I591" s="47"/>
    </row>
    <row r="592" spans="1:9" ht="12.75" thickBot="1" x14ac:dyDescent="0.25">
      <c r="A592" s="431"/>
      <c r="B592" s="432"/>
      <c r="C592" s="433"/>
      <c r="D592" s="434"/>
      <c r="E592" s="435"/>
      <c r="F592" s="436"/>
      <c r="G592" s="437"/>
      <c r="I592" s="47"/>
    </row>
    <row r="593" spans="1:7" x14ac:dyDescent="0.2">
      <c r="A593" s="403"/>
      <c r="B593" s="190" t="s">
        <v>306</v>
      </c>
      <c r="C593" s="366"/>
      <c r="D593" s="421"/>
      <c r="E593" s="193"/>
      <c r="F593" s="373"/>
      <c r="G593" s="374"/>
    </row>
    <row r="594" spans="1:7" x14ac:dyDescent="0.2">
      <c r="A594" s="323"/>
      <c r="B594" s="196" t="s">
        <v>288</v>
      </c>
      <c r="C594" s="207"/>
      <c r="D594" s="84"/>
      <c r="E594" s="85"/>
      <c r="F594" s="79"/>
      <c r="G594" s="80"/>
    </row>
    <row r="595" spans="1:7" x14ac:dyDescent="0.2">
      <c r="A595" s="324">
        <v>12.1</v>
      </c>
      <c r="B595" s="305" t="s">
        <v>289</v>
      </c>
      <c r="C595" s="325"/>
      <c r="D595" s="326"/>
      <c r="E595" s="247"/>
      <c r="F595" s="327"/>
      <c r="G595" s="328"/>
    </row>
    <row r="596" spans="1:7" ht="72" x14ac:dyDescent="0.2">
      <c r="A596" s="323"/>
      <c r="B596" s="101" t="s">
        <v>290</v>
      </c>
      <c r="C596" s="177"/>
      <c r="D596" s="84"/>
      <c r="E596" s="85"/>
      <c r="F596" s="79"/>
      <c r="G596" s="80"/>
    </row>
    <row r="597" spans="1:7" ht="36" x14ac:dyDescent="0.2">
      <c r="A597" s="323"/>
      <c r="B597" s="101" t="s">
        <v>291</v>
      </c>
      <c r="C597" s="177"/>
      <c r="D597" s="84"/>
      <c r="E597" s="85"/>
      <c r="F597" s="79"/>
      <c r="G597" s="80"/>
    </row>
    <row r="598" spans="1:7" ht="24" x14ac:dyDescent="0.2">
      <c r="A598" s="323"/>
      <c r="B598" s="101" t="s">
        <v>292</v>
      </c>
      <c r="C598" s="177"/>
      <c r="D598" s="84"/>
      <c r="E598" s="85"/>
      <c r="F598" s="79"/>
      <c r="G598" s="80"/>
    </row>
    <row r="599" spans="1:7" ht="84.75" customHeight="1" x14ac:dyDescent="0.2">
      <c r="A599" s="323"/>
      <c r="B599" s="101" t="s">
        <v>336</v>
      </c>
      <c r="C599" s="177"/>
      <c r="D599" s="84"/>
      <c r="E599" s="85"/>
      <c r="F599" s="79"/>
      <c r="G599" s="80"/>
    </row>
    <row r="600" spans="1:7" x14ac:dyDescent="0.2">
      <c r="A600" s="329">
        <v>12.2</v>
      </c>
      <c r="B600" s="330" t="s">
        <v>293</v>
      </c>
      <c r="C600" s="331"/>
      <c r="D600" s="332"/>
      <c r="E600" s="318"/>
      <c r="F600" s="112"/>
      <c r="G600" s="261"/>
    </row>
    <row r="601" spans="1:7" ht="24" x14ac:dyDescent="0.2">
      <c r="A601" s="323"/>
      <c r="B601" s="101" t="s">
        <v>294</v>
      </c>
      <c r="C601" s="177"/>
      <c r="D601" s="84"/>
      <c r="E601" s="85"/>
      <c r="F601" s="79"/>
      <c r="G601" s="80"/>
    </row>
    <row r="602" spans="1:7" x14ac:dyDescent="0.2">
      <c r="A602" s="333">
        <v>1</v>
      </c>
      <c r="B602" s="334" t="s">
        <v>62</v>
      </c>
      <c r="C602" s="335"/>
      <c r="D602" s="336"/>
      <c r="E602" s="337"/>
      <c r="F602" s="338"/>
      <c r="G602" s="339"/>
    </row>
    <row r="603" spans="1:7" x14ac:dyDescent="0.2">
      <c r="A603" s="340" t="s">
        <v>171</v>
      </c>
      <c r="B603" s="341" t="s">
        <v>293</v>
      </c>
      <c r="C603" s="331"/>
      <c r="D603" s="332"/>
      <c r="E603" s="318"/>
      <c r="F603" s="286"/>
      <c r="G603" s="175">
        <f t="shared" ref="G603:G611" si="54">+D603*E603+D603*F603</f>
        <v>0</v>
      </c>
    </row>
    <row r="604" spans="1:7" x14ac:dyDescent="0.2">
      <c r="A604" s="323" t="s">
        <v>155</v>
      </c>
      <c r="B604" s="101" t="s">
        <v>295</v>
      </c>
      <c r="C604" s="177" t="s">
        <v>107</v>
      </c>
      <c r="D604" s="84">
        <v>1</v>
      </c>
      <c r="E604" s="85"/>
      <c r="F604" s="79"/>
      <c r="G604" s="175">
        <f t="shared" si="54"/>
        <v>0</v>
      </c>
    </row>
    <row r="605" spans="1:7" x14ac:dyDescent="0.2">
      <c r="A605" s="323" t="s">
        <v>156</v>
      </c>
      <c r="B605" s="101" t="s">
        <v>296</v>
      </c>
      <c r="C605" s="177" t="s">
        <v>107</v>
      </c>
      <c r="D605" s="84">
        <v>1</v>
      </c>
      <c r="E605" s="85"/>
      <c r="F605" s="79"/>
      <c r="G605" s="175">
        <f t="shared" si="54"/>
        <v>0</v>
      </c>
    </row>
    <row r="606" spans="1:7" x14ac:dyDescent="0.2">
      <c r="A606" s="323" t="s">
        <v>164</v>
      </c>
      <c r="B606" s="101" t="s">
        <v>300</v>
      </c>
      <c r="C606" s="177" t="s">
        <v>107</v>
      </c>
      <c r="D606" s="84">
        <v>6</v>
      </c>
      <c r="E606" s="85"/>
      <c r="F606" s="79"/>
      <c r="G606" s="175">
        <f t="shared" si="54"/>
        <v>0</v>
      </c>
    </row>
    <row r="607" spans="1:7" ht="24" x14ac:dyDescent="0.2">
      <c r="A607" s="323" t="s">
        <v>165</v>
      </c>
      <c r="B607" s="101" t="s">
        <v>302</v>
      </c>
      <c r="C607" s="177" t="s">
        <v>107</v>
      </c>
      <c r="D607" s="84">
        <v>1</v>
      </c>
      <c r="E607" s="85"/>
      <c r="F607" s="79"/>
      <c r="G607" s="175">
        <f t="shared" si="54"/>
        <v>0</v>
      </c>
    </row>
    <row r="608" spans="1:7" x14ac:dyDescent="0.2">
      <c r="A608" s="323" t="s">
        <v>166</v>
      </c>
      <c r="B608" s="101" t="s">
        <v>301</v>
      </c>
      <c r="C608" s="177" t="s">
        <v>107</v>
      </c>
      <c r="D608" s="84">
        <v>1</v>
      </c>
      <c r="E608" s="85"/>
      <c r="F608" s="79"/>
      <c r="G608" s="175">
        <f t="shared" si="54"/>
        <v>0</v>
      </c>
    </row>
    <row r="609" spans="1:7" x14ac:dyDescent="0.2">
      <c r="A609" s="323" t="s">
        <v>167</v>
      </c>
      <c r="B609" s="101" t="s">
        <v>299</v>
      </c>
      <c r="C609" s="177" t="s">
        <v>107</v>
      </c>
      <c r="D609" s="84">
        <v>6</v>
      </c>
      <c r="E609" s="85"/>
      <c r="F609" s="79"/>
      <c r="G609" s="175">
        <f t="shared" si="54"/>
        <v>0</v>
      </c>
    </row>
    <row r="610" spans="1:7" x14ac:dyDescent="0.2">
      <c r="A610" s="323" t="s">
        <v>168</v>
      </c>
      <c r="B610" s="101" t="s">
        <v>297</v>
      </c>
      <c r="C610" s="177" t="s">
        <v>107</v>
      </c>
      <c r="D610" s="84">
        <v>1</v>
      </c>
      <c r="E610" s="85"/>
      <c r="F610" s="79"/>
      <c r="G610" s="175">
        <f t="shared" si="54"/>
        <v>0</v>
      </c>
    </row>
    <row r="611" spans="1:7" x14ac:dyDescent="0.2">
      <c r="A611" s="323" t="s">
        <v>169</v>
      </c>
      <c r="B611" s="101" t="s">
        <v>298</v>
      </c>
      <c r="C611" s="177" t="s">
        <v>107</v>
      </c>
      <c r="D611" s="84">
        <v>1</v>
      </c>
      <c r="E611" s="85"/>
      <c r="F611" s="79"/>
      <c r="G611" s="175">
        <f t="shared" si="54"/>
        <v>0</v>
      </c>
    </row>
    <row r="612" spans="1:7" s="38" customFormat="1" x14ac:dyDescent="0.2">
      <c r="A612" s="342"/>
      <c r="B612" s="343"/>
      <c r="C612" s="344"/>
      <c r="D612" s="332"/>
      <c r="E612" s="345"/>
      <c r="F612" s="273"/>
      <c r="G612" s="175"/>
    </row>
    <row r="613" spans="1:7" s="38" customFormat="1" x14ac:dyDescent="0.2">
      <c r="A613" s="346"/>
      <c r="B613" s="347"/>
      <c r="C613" s="344"/>
      <c r="D613" s="332"/>
      <c r="E613" s="345"/>
      <c r="F613" s="348"/>
      <c r="G613" s="170"/>
    </row>
    <row r="614" spans="1:7" s="38" customFormat="1" x14ac:dyDescent="0.2">
      <c r="A614" s="349"/>
      <c r="B614" s="83"/>
      <c r="C614" s="152"/>
      <c r="D614" s="84"/>
      <c r="E614" s="126"/>
      <c r="F614" s="127"/>
      <c r="G614" s="128"/>
    </row>
    <row r="615" spans="1:7" s="38" customFormat="1" x14ac:dyDescent="0.2">
      <c r="A615" s="349"/>
      <c r="B615" s="83"/>
      <c r="C615" s="152"/>
      <c r="D615" s="84"/>
      <c r="E615" s="126"/>
      <c r="F615" s="127"/>
      <c r="G615" s="128"/>
    </row>
    <row r="616" spans="1:7" s="38" customFormat="1" x14ac:dyDescent="0.2">
      <c r="A616" s="349"/>
      <c r="B616" s="83"/>
      <c r="C616" s="152"/>
      <c r="D616" s="84"/>
      <c r="E616" s="126"/>
      <c r="F616" s="127"/>
      <c r="G616" s="128"/>
    </row>
    <row r="617" spans="1:7" s="38" customFormat="1" ht="12.75" thickBot="1" x14ac:dyDescent="0.25">
      <c r="A617" s="349"/>
      <c r="B617" s="83"/>
      <c r="C617" s="152"/>
      <c r="D617" s="84"/>
      <c r="E617" s="126"/>
      <c r="F617" s="127"/>
      <c r="G617" s="128"/>
    </row>
    <row r="618" spans="1:7" x14ac:dyDescent="0.2">
      <c r="A618" s="403"/>
      <c r="B618" s="357" t="s">
        <v>307</v>
      </c>
      <c r="C618" s="400"/>
      <c r="D618" s="373"/>
      <c r="E618" s="402"/>
      <c r="F618" s="373"/>
      <c r="G618" s="374"/>
    </row>
    <row r="619" spans="1:7" ht="12.75" thickBot="1" x14ac:dyDescent="0.25">
      <c r="A619" s="351"/>
      <c r="B619" s="352" t="s">
        <v>308</v>
      </c>
      <c r="C619" s="353"/>
      <c r="D619" s="354"/>
      <c r="E619" s="355"/>
      <c r="F619" s="354"/>
      <c r="G619" s="356">
        <f>SUM(G596:G618)</f>
        <v>0</v>
      </c>
    </row>
    <row r="620" spans="1:7" x14ac:dyDescent="0.2">
      <c r="A620" s="323"/>
      <c r="B620" s="214"/>
      <c r="C620" s="76"/>
      <c r="D620" s="79"/>
      <c r="E620" s="78"/>
      <c r="F620" s="79"/>
      <c r="G620" s="261"/>
    </row>
    <row r="621" spans="1:7" x14ac:dyDescent="0.2">
      <c r="A621" s="323"/>
      <c r="B621" s="279" t="s">
        <v>313</v>
      </c>
      <c r="C621" s="207"/>
      <c r="D621" s="84"/>
      <c r="E621" s="85"/>
      <c r="F621" s="79"/>
      <c r="G621" s="80"/>
    </row>
    <row r="622" spans="1:7" x14ac:dyDescent="0.2">
      <c r="A622" s="323"/>
      <c r="B622" s="196" t="s">
        <v>314</v>
      </c>
      <c r="C622" s="207"/>
      <c r="D622" s="84"/>
      <c r="E622" s="85"/>
      <c r="F622" s="79"/>
      <c r="G622" s="80"/>
    </row>
    <row r="623" spans="1:7" x14ac:dyDescent="0.2">
      <c r="A623" s="324">
        <v>13.1</v>
      </c>
      <c r="B623" s="305" t="s">
        <v>39</v>
      </c>
      <c r="C623" s="325"/>
      <c r="D623" s="326"/>
      <c r="E623" s="247"/>
      <c r="F623" s="327"/>
      <c r="G623" s="328"/>
    </row>
    <row r="624" spans="1:7" x14ac:dyDescent="0.2">
      <c r="A624" s="350"/>
      <c r="B624" s="305" t="s">
        <v>438</v>
      </c>
      <c r="C624" s="325"/>
      <c r="D624" s="326"/>
      <c r="E624" s="247"/>
      <c r="F624" s="327"/>
      <c r="G624" s="328"/>
    </row>
    <row r="625" spans="1:7" x14ac:dyDescent="0.2">
      <c r="A625" s="323"/>
      <c r="B625" s="101"/>
      <c r="C625" s="177"/>
      <c r="D625" s="84"/>
      <c r="E625" s="85"/>
      <c r="F625" s="79"/>
      <c r="G625" s="80"/>
    </row>
    <row r="626" spans="1:7" x14ac:dyDescent="0.2">
      <c r="A626" s="323"/>
      <c r="B626" s="101"/>
      <c r="C626" s="177"/>
      <c r="D626" s="84"/>
      <c r="E626" s="85"/>
      <c r="F626" s="79"/>
      <c r="G626" s="80"/>
    </row>
    <row r="627" spans="1:7" x14ac:dyDescent="0.2">
      <c r="A627" s="323"/>
      <c r="B627" s="101"/>
      <c r="C627" s="177"/>
      <c r="D627" s="84"/>
      <c r="E627" s="85"/>
      <c r="F627" s="79"/>
      <c r="G627" s="80"/>
    </row>
    <row r="628" spans="1:7" x14ac:dyDescent="0.2">
      <c r="A628" s="323"/>
      <c r="B628" s="101"/>
      <c r="C628" s="177"/>
      <c r="D628" s="84"/>
      <c r="E628" s="85"/>
      <c r="F628" s="79"/>
      <c r="G628" s="80"/>
    </row>
    <row r="629" spans="1:7" x14ac:dyDescent="0.2">
      <c r="A629" s="323"/>
      <c r="B629" s="101"/>
      <c r="C629" s="177"/>
      <c r="D629" s="84"/>
      <c r="E629" s="85"/>
      <c r="F629" s="79"/>
      <c r="G629" s="80"/>
    </row>
    <row r="630" spans="1:7" x14ac:dyDescent="0.2">
      <c r="A630" s="323"/>
      <c r="B630" s="101"/>
      <c r="C630" s="177"/>
      <c r="D630" s="84"/>
      <c r="E630" s="85"/>
      <c r="F630" s="79"/>
      <c r="G630" s="80"/>
    </row>
    <row r="631" spans="1:7" x14ac:dyDescent="0.2">
      <c r="A631" s="323"/>
      <c r="B631" s="101"/>
      <c r="C631" s="177"/>
      <c r="D631" s="84"/>
      <c r="E631" s="85"/>
      <c r="F631" s="79"/>
      <c r="G631" s="80"/>
    </row>
    <row r="632" spans="1:7" x14ac:dyDescent="0.2">
      <c r="A632" s="323"/>
      <c r="B632" s="101"/>
      <c r="C632" s="177"/>
      <c r="D632" s="84"/>
      <c r="E632" s="85"/>
      <c r="F632" s="79"/>
      <c r="G632" s="80"/>
    </row>
    <row r="633" spans="1:7" x14ac:dyDescent="0.2">
      <c r="A633" s="323"/>
      <c r="B633" s="101"/>
      <c r="C633" s="177"/>
      <c r="D633" s="84"/>
      <c r="E633" s="85"/>
      <c r="F633" s="79"/>
      <c r="G633" s="80"/>
    </row>
    <row r="634" spans="1:7" x14ac:dyDescent="0.2">
      <c r="A634" s="323"/>
      <c r="B634" s="101"/>
      <c r="C634" s="177"/>
      <c r="D634" s="84"/>
      <c r="E634" s="85"/>
      <c r="F634" s="79"/>
      <c r="G634" s="80"/>
    </row>
    <row r="635" spans="1:7" x14ac:dyDescent="0.2">
      <c r="A635" s="323"/>
      <c r="B635" s="101"/>
      <c r="C635" s="177"/>
      <c r="D635" s="84"/>
      <c r="E635" s="85"/>
      <c r="F635" s="79"/>
      <c r="G635" s="80"/>
    </row>
    <row r="636" spans="1:7" x14ac:dyDescent="0.2">
      <c r="A636" s="323"/>
      <c r="B636" s="101"/>
      <c r="C636" s="177"/>
      <c r="D636" s="84"/>
      <c r="E636" s="85"/>
      <c r="F636" s="79"/>
      <c r="G636" s="80"/>
    </row>
    <row r="637" spans="1:7" x14ac:dyDescent="0.2">
      <c r="A637" s="323"/>
      <c r="B637" s="101"/>
      <c r="C637" s="177"/>
      <c r="D637" s="84"/>
      <c r="E637" s="85"/>
      <c r="F637" s="79"/>
      <c r="G637" s="80"/>
    </row>
    <row r="638" spans="1:7" x14ac:dyDescent="0.2">
      <c r="A638" s="323"/>
      <c r="B638" s="101"/>
      <c r="C638" s="177"/>
      <c r="D638" s="84"/>
      <c r="E638" s="85"/>
      <c r="F638" s="79"/>
      <c r="G638" s="80"/>
    </row>
    <row r="639" spans="1:7" x14ac:dyDescent="0.2">
      <c r="A639" s="323"/>
      <c r="B639" s="101"/>
      <c r="C639" s="177"/>
      <c r="D639" s="84"/>
      <c r="E639" s="85"/>
      <c r="F639" s="79"/>
      <c r="G639" s="80"/>
    </row>
    <row r="640" spans="1:7" x14ac:dyDescent="0.2">
      <c r="A640" s="323"/>
      <c r="B640" s="101"/>
      <c r="C640" s="177"/>
      <c r="D640" s="84"/>
      <c r="E640" s="85"/>
      <c r="F640" s="79"/>
      <c r="G640" s="80"/>
    </row>
    <row r="641" spans="1:7" x14ac:dyDescent="0.2">
      <c r="A641" s="323"/>
      <c r="B641" s="101"/>
      <c r="C641" s="177"/>
      <c r="D641" s="84"/>
      <c r="E641" s="85"/>
      <c r="F641" s="79"/>
      <c r="G641" s="80"/>
    </row>
    <row r="642" spans="1:7" x14ac:dyDescent="0.2">
      <c r="A642" s="323"/>
      <c r="B642" s="101"/>
      <c r="C642" s="177"/>
      <c r="D642" s="84"/>
      <c r="E642" s="85"/>
      <c r="F642" s="79"/>
      <c r="G642" s="80"/>
    </row>
    <row r="643" spans="1:7" x14ac:dyDescent="0.2">
      <c r="A643" s="323"/>
      <c r="B643" s="101"/>
      <c r="C643" s="177"/>
      <c r="D643" s="84"/>
      <c r="E643" s="85"/>
      <c r="F643" s="79"/>
      <c r="G643" s="80"/>
    </row>
    <row r="644" spans="1:7" x14ac:dyDescent="0.2">
      <c r="A644" s="323"/>
      <c r="B644" s="101"/>
      <c r="C644" s="177"/>
      <c r="D644" s="84"/>
      <c r="E644" s="85"/>
      <c r="F644" s="79"/>
      <c r="G644" s="80"/>
    </row>
    <row r="645" spans="1:7" x14ac:dyDescent="0.2">
      <c r="A645" s="323"/>
      <c r="B645" s="101"/>
      <c r="C645" s="177"/>
      <c r="D645" s="84"/>
      <c r="E645" s="85"/>
      <c r="F645" s="79"/>
      <c r="G645" s="80"/>
    </row>
    <row r="646" spans="1:7" x14ac:dyDescent="0.2">
      <c r="A646" s="323"/>
      <c r="B646" s="101"/>
      <c r="C646" s="177"/>
      <c r="D646" s="84"/>
      <c r="E646" s="85"/>
      <c r="F646" s="79"/>
      <c r="G646" s="80"/>
    </row>
    <row r="647" spans="1:7" x14ac:dyDescent="0.2">
      <c r="A647" s="323"/>
      <c r="B647" s="101"/>
      <c r="C647" s="177"/>
      <c r="D647" s="84"/>
      <c r="E647" s="85"/>
      <c r="F647" s="79"/>
      <c r="G647" s="80"/>
    </row>
    <row r="648" spans="1:7" x14ac:dyDescent="0.2">
      <c r="A648" s="323"/>
      <c r="B648" s="101"/>
      <c r="C648" s="177"/>
      <c r="D648" s="84"/>
      <c r="E648" s="85"/>
      <c r="F648" s="79"/>
      <c r="G648" s="80"/>
    </row>
    <row r="649" spans="1:7" x14ac:dyDescent="0.2">
      <c r="A649" s="323"/>
      <c r="B649" s="101"/>
      <c r="C649" s="177"/>
      <c r="D649" s="84"/>
      <c r="E649" s="85"/>
      <c r="F649" s="79"/>
      <c r="G649" s="80"/>
    </row>
    <row r="650" spans="1:7" x14ac:dyDescent="0.2">
      <c r="A650" s="323"/>
      <c r="B650" s="101"/>
      <c r="C650" s="177"/>
      <c r="D650" s="84"/>
      <c r="E650" s="85"/>
      <c r="F650" s="79"/>
      <c r="G650" s="80"/>
    </row>
    <row r="651" spans="1:7" x14ac:dyDescent="0.2">
      <c r="A651" s="323"/>
      <c r="B651" s="101"/>
      <c r="C651" s="177"/>
      <c r="D651" s="84"/>
      <c r="E651" s="85"/>
      <c r="F651" s="79"/>
      <c r="G651" s="80"/>
    </row>
    <row r="652" spans="1:7" x14ac:dyDescent="0.2">
      <c r="A652" s="323"/>
      <c r="B652" s="101"/>
      <c r="C652" s="177"/>
      <c r="D652" s="84"/>
      <c r="E652" s="85"/>
      <c r="F652" s="79"/>
      <c r="G652" s="80"/>
    </row>
    <row r="653" spans="1:7" x14ac:dyDescent="0.2">
      <c r="A653" s="323"/>
      <c r="B653" s="101"/>
      <c r="C653" s="177"/>
      <c r="D653" s="84"/>
      <c r="E653" s="85"/>
      <c r="F653" s="79"/>
      <c r="G653" s="80"/>
    </row>
    <row r="654" spans="1:7" x14ac:dyDescent="0.2">
      <c r="A654" s="323"/>
      <c r="B654" s="101"/>
      <c r="C654" s="177"/>
      <c r="D654" s="84"/>
      <c r="E654" s="85"/>
      <c r="F654" s="79"/>
      <c r="G654" s="80"/>
    </row>
    <row r="655" spans="1:7" x14ac:dyDescent="0.2">
      <c r="A655" s="323"/>
      <c r="B655" s="101"/>
      <c r="C655" s="177"/>
      <c r="D655" s="84"/>
      <c r="E655" s="85"/>
      <c r="F655" s="79"/>
      <c r="G655" s="80"/>
    </row>
    <row r="656" spans="1:7" x14ac:dyDescent="0.2">
      <c r="A656" s="323"/>
      <c r="B656" s="101"/>
      <c r="C656" s="177"/>
      <c r="D656" s="84"/>
      <c r="E656" s="85"/>
      <c r="F656" s="79"/>
      <c r="G656" s="80"/>
    </row>
    <row r="657" spans="1:7" x14ac:dyDescent="0.2">
      <c r="A657" s="323"/>
      <c r="B657" s="101"/>
      <c r="C657" s="177"/>
      <c r="D657" s="84"/>
      <c r="E657" s="85"/>
      <c r="F657" s="79"/>
      <c r="G657" s="80"/>
    </row>
    <row r="658" spans="1:7" x14ac:dyDescent="0.2">
      <c r="A658" s="323"/>
      <c r="B658" s="101"/>
      <c r="C658" s="177"/>
      <c r="D658" s="84"/>
      <c r="E658" s="85"/>
      <c r="F658" s="79"/>
      <c r="G658" s="80"/>
    </row>
    <row r="659" spans="1:7" x14ac:dyDescent="0.2">
      <c r="A659" s="323"/>
      <c r="B659" s="101"/>
      <c r="C659" s="177"/>
      <c r="D659" s="84"/>
      <c r="E659" s="85"/>
      <c r="F659" s="79"/>
      <c r="G659" s="80"/>
    </row>
    <row r="660" spans="1:7" x14ac:dyDescent="0.2">
      <c r="A660" s="323"/>
      <c r="B660" s="101"/>
      <c r="C660" s="177"/>
      <c r="D660" s="84"/>
      <c r="E660" s="85"/>
      <c r="F660" s="79"/>
      <c r="G660" s="80"/>
    </row>
    <row r="661" spans="1:7" x14ac:dyDescent="0.2">
      <c r="A661" s="323"/>
      <c r="B661" s="101"/>
      <c r="C661" s="177"/>
      <c r="D661" s="84"/>
      <c r="E661" s="85"/>
      <c r="F661" s="79"/>
      <c r="G661" s="80"/>
    </row>
    <row r="662" spans="1:7" x14ac:dyDescent="0.2">
      <c r="A662" s="323"/>
      <c r="B662" s="101"/>
      <c r="C662" s="177"/>
      <c r="D662" s="84"/>
      <c r="E662" s="85"/>
      <c r="F662" s="79"/>
      <c r="G662" s="80"/>
    </row>
    <row r="663" spans="1:7" x14ac:dyDescent="0.2">
      <c r="A663" s="323"/>
      <c r="B663" s="101"/>
      <c r="C663" s="177"/>
      <c r="D663" s="84"/>
      <c r="E663" s="85"/>
      <c r="F663" s="79"/>
      <c r="G663" s="80"/>
    </row>
    <row r="664" spans="1:7" x14ac:dyDescent="0.2">
      <c r="A664" s="323"/>
      <c r="B664" s="101"/>
      <c r="C664" s="177"/>
      <c r="D664" s="84"/>
      <c r="E664" s="85"/>
      <c r="F664" s="79"/>
      <c r="G664" s="80"/>
    </row>
    <row r="665" spans="1:7" x14ac:dyDescent="0.2">
      <c r="A665" s="323"/>
      <c r="B665" s="101"/>
      <c r="C665" s="177"/>
      <c r="D665" s="84"/>
      <c r="E665" s="85"/>
      <c r="F665" s="79"/>
      <c r="G665" s="80"/>
    </row>
    <row r="666" spans="1:7" x14ac:dyDescent="0.2">
      <c r="A666" s="323"/>
      <c r="B666" s="101"/>
      <c r="C666" s="177"/>
      <c r="D666" s="84"/>
      <c r="E666" s="85"/>
      <c r="F666" s="79"/>
      <c r="G666" s="80"/>
    </row>
    <row r="667" spans="1:7" x14ac:dyDescent="0.2">
      <c r="A667" s="323"/>
      <c r="B667" s="101"/>
      <c r="C667" s="177"/>
      <c r="D667" s="84"/>
      <c r="E667" s="85"/>
      <c r="F667" s="79"/>
      <c r="G667" s="80"/>
    </row>
    <row r="668" spans="1:7" x14ac:dyDescent="0.2">
      <c r="A668" s="323"/>
      <c r="B668" s="101"/>
      <c r="C668" s="177"/>
      <c r="D668" s="84"/>
      <c r="E668" s="85"/>
      <c r="F668" s="79"/>
      <c r="G668" s="80"/>
    </row>
    <row r="669" spans="1:7" x14ac:dyDescent="0.2">
      <c r="A669" s="323"/>
      <c r="B669" s="101"/>
      <c r="C669" s="177"/>
      <c r="D669" s="84"/>
      <c r="E669" s="85"/>
      <c r="F669" s="79"/>
      <c r="G669" s="80"/>
    </row>
    <row r="670" spans="1:7" x14ac:dyDescent="0.2">
      <c r="A670" s="323"/>
      <c r="B670" s="101"/>
      <c r="C670" s="177"/>
      <c r="D670" s="84"/>
      <c r="E670" s="85"/>
      <c r="F670" s="79"/>
      <c r="G670" s="80"/>
    </row>
    <row r="671" spans="1:7" x14ac:dyDescent="0.2">
      <c r="A671" s="323"/>
      <c r="B671" s="101"/>
      <c r="C671" s="177"/>
      <c r="D671" s="84"/>
      <c r="E671" s="85"/>
      <c r="F671" s="79"/>
      <c r="G671" s="80"/>
    </row>
    <row r="672" spans="1:7" x14ac:dyDescent="0.2">
      <c r="A672" s="323"/>
      <c r="B672" s="101"/>
      <c r="C672" s="177"/>
      <c r="D672" s="84"/>
      <c r="E672" s="85"/>
      <c r="F672" s="79"/>
      <c r="G672" s="80"/>
    </row>
    <row r="673" spans="1:7" x14ac:dyDescent="0.2">
      <c r="A673" s="323"/>
      <c r="B673" s="101"/>
      <c r="C673" s="177"/>
      <c r="D673" s="84"/>
      <c r="E673" s="85"/>
      <c r="F673" s="79"/>
      <c r="G673" s="80"/>
    </row>
    <row r="674" spans="1:7" x14ac:dyDescent="0.2">
      <c r="A674" s="323"/>
      <c r="B674" s="101"/>
      <c r="C674" s="177"/>
      <c r="D674" s="84"/>
      <c r="E674" s="85"/>
      <c r="F674" s="79"/>
      <c r="G674" s="80"/>
    </row>
    <row r="675" spans="1:7" x14ac:dyDescent="0.2">
      <c r="A675" s="323"/>
      <c r="B675" s="101"/>
      <c r="C675" s="177"/>
      <c r="D675" s="84"/>
      <c r="E675" s="85"/>
      <c r="F675" s="79"/>
      <c r="G675" s="80"/>
    </row>
    <row r="676" spans="1:7" x14ac:dyDescent="0.2">
      <c r="A676" s="323"/>
      <c r="B676" s="101"/>
      <c r="C676" s="177"/>
      <c r="D676" s="84"/>
      <c r="E676" s="85"/>
      <c r="F676" s="79"/>
      <c r="G676" s="80"/>
    </row>
    <row r="677" spans="1:7" ht="12.75" thickBot="1" x14ac:dyDescent="0.25">
      <c r="A677" s="323"/>
      <c r="B677" s="101"/>
      <c r="C677" s="177"/>
      <c r="D677" s="84"/>
      <c r="E677" s="85"/>
      <c r="F677" s="79"/>
      <c r="G677" s="80"/>
    </row>
    <row r="678" spans="1:7" x14ac:dyDescent="0.2">
      <c r="A678" s="403"/>
      <c r="B678" s="357" t="s">
        <v>315</v>
      </c>
      <c r="C678" s="400"/>
      <c r="D678" s="373"/>
      <c r="E678" s="402"/>
      <c r="F678" s="373"/>
      <c r="G678" s="374"/>
    </row>
    <row r="679" spans="1:7" ht="12.75" thickBot="1" x14ac:dyDescent="0.25">
      <c r="A679" s="351"/>
      <c r="B679" s="352" t="s">
        <v>316</v>
      </c>
      <c r="C679" s="353"/>
      <c r="D679" s="354"/>
      <c r="E679" s="355"/>
      <c r="F679" s="354"/>
      <c r="G679" s="356">
        <f>SUM(G625:G678)</f>
        <v>0</v>
      </c>
    </row>
    <row r="680" spans="1:7" x14ac:dyDescent="0.2">
      <c r="A680" s="323"/>
      <c r="B680" s="214"/>
      <c r="C680" s="76"/>
      <c r="D680" s="79"/>
      <c r="E680" s="78"/>
      <c r="F680" s="79"/>
      <c r="G680" s="261"/>
    </row>
    <row r="681" spans="1:7" x14ac:dyDescent="0.2">
      <c r="A681" s="323"/>
      <c r="B681" s="279" t="s">
        <v>317</v>
      </c>
      <c r="C681" s="207"/>
      <c r="D681" s="84"/>
      <c r="E681" s="85"/>
      <c r="F681" s="79"/>
      <c r="G681" s="80"/>
    </row>
    <row r="682" spans="1:7" x14ac:dyDescent="0.2">
      <c r="A682" s="323"/>
      <c r="B682" s="196" t="s">
        <v>318</v>
      </c>
      <c r="C682" s="207"/>
      <c r="D682" s="84"/>
      <c r="E682" s="85"/>
      <c r="F682" s="79"/>
      <c r="G682" s="80"/>
    </row>
    <row r="683" spans="1:7" x14ac:dyDescent="0.2">
      <c r="A683" s="324">
        <v>14.1</v>
      </c>
      <c r="B683" s="305" t="s">
        <v>39</v>
      </c>
      <c r="C683" s="325"/>
      <c r="D683" s="326"/>
      <c r="E683" s="247"/>
      <c r="F683" s="327"/>
      <c r="G683" s="328"/>
    </row>
    <row r="684" spans="1:7" x14ac:dyDescent="0.2">
      <c r="A684" s="350"/>
      <c r="B684" s="305" t="s">
        <v>439</v>
      </c>
      <c r="C684" s="325"/>
      <c r="D684" s="326"/>
      <c r="E684" s="247"/>
      <c r="F684" s="327"/>
      <c r="G684" s="328"/>
    </row>
    <row r="685" spans="1:7" x14ac:dyDescent="0.2">
      <c r="A685" s="323"/>
      <c r="B685" s="101"/>
      <c r="C685" s="177"/>
      <c r="D685" s="84"/>
      <c r="E685" s="85"/>
      <c r="F685" s="79"/>
      <c r="G685" s="80"/>
    </row>
    <row r="686" spans="1:7" x14ac:dyDescent="0.2">
      <c r="A686" s="323"/>
      <c r="B686" s="101"/>
      <c r="C686" s="177"/>
      <c r="D686" s="84"/>
      <c r="E686" s="85"/>
      <c r="F686" s="79"/>
      <c r="G686" s="80"/>
    </row>
    <row r="687" spans="1:7" x14ac:dyDescent="0.2">
      <c r="A687" s="323"/>
      <c r="B687" s="101"/>
      <c r="C687" s="177"/>
      <c r="D687" s="84"/>
      <c r="E687" s="85"/>
      <c r="F687" s="79"/>
      <c r="G687" s="80"/>
    </row>
    <row r="688" spans="1:7" x14ac:dyDescent="0.2">
      <c r="A688" s="323"/>
      <c r="B688" s="101"/>
      <c r="C688" s="177"/>
      <c r="D688" s="84"/>
      <c r="E688" s="85"/>
      <c r="F688" s="79"/>
      <c r="G688" s="80"/>
    </row>
    <row r="689" spans="1:7" x14ac:dyDescent="0.2">
      <c r="A689" s="323"/>
      <c r="B689" s="101"/>
      <c r="C689" s="177"/>
      <c r="D689" s="84"/>
      <c r="E689" s="85"/>
      <c r="F689" s="79"/>
      <c r="G689" s="80"/>
    </row>
    <row r="690" spans="1:7" x14ac:dyDescent="0.2">
      <c r="A690" s="323"/>
      <c r="B690" s="101"/>
      <c r="C690" s="177"/>
      <c r="D690" s="84"/>
      <c r="E690" s="85"/>
      <c r="F690" s="79"/>
      <c r="G690" s="80"/>
    </row>
    <row r="691" spans="1:7" x14ac:dyDescent="0.2">
      <c r="A691" s="323"/>
      <c r="B691" s="101"/>
      <c r="C691" s="177"/>
      <c r="D691" s="84"/>
      <c r="E691" s="85"/>
      <c r="F691" s="79"/>
      <c r="G691" s="80"/>
    </row>
    <row r="692" spans="1:7" x14ac:dyDescent="0.2">
      <c r="A692" s="323"/>
      <c r="B692" s="101"/>
      <c r="C692" s="177"/>
      <c r="D692" s="84"/>
      <c r="E692" s="85"/>
      <c r="F692" s="79"/>
      <c r="G692" s="80"/>
    </row>
    <row r="693" spans="1:7" x14ac:dyDescent="0.2">
      <c r="A693" s="323"/>
      <c r="B693" s="101"/>
      <c r="C693" s="177"/>
      <c r="D693" s="84"/>
      <c r="E693" s="85"/>
      <c r="F693" s="79"/>
      <c r="G693" s="80"/>
    </row>
    <row r="694" spans="1:7" x14ac:dyDescent="0.2">
      <c r="A694" s="323"/>
      <c r="B694" s="101"/>
      <c r="C694" s="177"/>
      <c r="D694" s="84"/>
      <c r="E694" s="85"/>
      <c r="F694" s="79"/>
      <c r="G694" s="80"/>
    </row>
    <row r="695" spans="1:7" x14ac:dyDescent="0.2">
      <c r="A695" s="323"/>
      <c r="B695" s="101"/>
      <c r="C695" s="177"/>
      <c r="D695" s="84"/>
      <c r="E695" s="85"/>
      <c r="F695" s="79"/>
      <c r="G695" s="80"/>
    </row>
    <row r="696" spans="1:7" x14ac:dyDescent="0.2">
      <c r="A696" s="323"/>
      <c r="B696" s="101"/>
      <c r="C696" s="177"/>
      <c r="D696" s="84"/>
      <c r="E696" s="85"/>
      <c r="F696" s="79"/>
      <c r="G696" s="80"/>
    </row>
    <row r="697" spans="1:7" x14ac:dyDescent="0.2">
      <c r="A697" s="323"/>
      <c r="B697" s="101"/>
      <c r="C697" s="177"/>
      <c r="D697" s="84"/>
      <c r="E697" s="85"/>
      <c r="F697" s="79"/>
      <c r="G697" s="80"/>
    </row>
    <row r="698" spans="1:7" x14ac:dyDescent="0.2">
      <c r="A698" s="323"/>
      <c r="B698" s="101"/>
      <c r="C698" s="177"/>
      <c r="D698" s="84"/>
      <c r="E698" s="85"/>
      <c r="F698" s="79"/>
      <c r="G698" s="80"/>
    </row>
    <row r="699" spans="1:7" x14ac:dyDescent="0.2">
      <c r="A699" s="323"/>
      <c r="B699" s="101"/>
      <c r="C699" s="177"/>
      <c r="D699" s="84"/>
      <c r="E699" s="85"/>
      <c r="F699" s="79"/>
      <c r="G699" s="80"/>
    </row>
    <row r="700" spans="1:7" x14ac:dyDescent="0.2">
      <c r="A700" s="323"/>
      <c r="B700" s="101"/>
      <c r="C700" s="177"/>
      <c r="D700" s="84"/>
      <c r="E700" s="85"/>
      <c r="F700" s="79"/>
      <c r="G700" s="80"/>
    </row>
    <row r="701" spans="1:7" x14ac:dyDescent="0.2">
      <c r="A701" s="323"/>
      <c r="B701" s="101"/>
      <c r="C701" s="177"/>
      <c r="D701" s="84"/>
      <c r="E701" s="85"/>
      <c r="F701" s="79"/>
      <c r="G701" s="80"/>
    </row>
    <row r="702" spans="1:7" x14ac:dyDescent="0.2">
      <c r="A702" s="323"/>
      <c r="B702" s="101"/>
      <c r="C702" s="177"/>
      <c r="D702" s="84"/>
      <c r="E702" s="85"/>
      <c r="F702" s="79"/>
      <c r="G702" s="80"/>
    </row>
    <row r="703" spans="1:7" x14ac:dyDescent="0.2">
      <c r="A703" s="323"/>
      <c r="B703" s="101"/>
      <c r="C703" s="177"/>
      <c r="D703" s="84"/>
      <c r="E703" s="85"/>
      <c r="F703" s="79"/>
      <c r="G703" s="80"/>
    </row>
    <row r="704" spans="1:7" x14ac:dyDescent="0.2">
      <c r="A704" s="323"/>
      <c r="B704" s="101"/>
      <c r="C704" s="177"/>
      <c r="D704" s="84"/>
      <c r="E704" s="85"/>
      <c r="F704" s="79"/>
      <c r="G704" s="80"/>
    </row>
    <row r="705" spans="1:7" x14ac:dyDescent="0.2">
      <c r="A705" s="323"/>
      <c r="B705" s="101"/>
      <c r="C705" s="177"/>
      <c r="D705" s="84"/>
      <c r="E705" s="85"/>
      <c r="F705" s="79"/>
      <c r="G705" s="80"/>
    </row>
    <row r="706" spans="1:7" x14ac:dyDescent="0.2">
      <c r="A706" s="323"/>
      <c r="B706" s="101"/>
      <c r="C706" s="177"/>
      <c r="D706" s="84"/>
      <c r="E706" s="85"/>
      <c r="F706" s="79"/>
      <c r="G706" s="80"/>
    </row>
    <row r="707" spans="1:7" x14ac:dyDescent="0.2">
      <c r="A707" s="323"/>
      <c r="B707" s="101"/>
      <c r="C707" s="177"/>
      <c r="D707" s="84"/>
      <c r="E707" s="85"/>
      <c r="F707" s="79"/>
      <c r="G707" s="80"/>
    </row>
    <row r="708" spans="1:7" x14ac:dyDescent="0.2">
      <c r="A708" s="323"/>
      <c r="B708" s="101"/>
      <c r="C708" s="177"/>
      <c r="D708" s="84"/>
      <c r="E708" s="85"/>
      <c r="F708" s="79"/>
      <c r="G708" s="80"/>
    </row>
    <row r="709" spans="1:7" x14ac:dyDescent="0.2">
      <c r="A709" s="323"/>
      <c r="B709" s="101"/>
      <c r="C709" s="177"/>
      <c r="D709" s="84"/>
      <c r="E709" s="85"/>
      <c r="F709" s="79"/>
      <c r="G709" s="80"/>
    </row>
    <row r="710" spans="1:7" x14ac:dyDescent="0.2">
      <c r="A710" s="323"/>
      <c r="B710" s="101"/>
      <c r="C710" s="177"/>
      <c r="D710" s="84"/>
      <c r="E710" s="85"/>
      <c r="F710" s="79"/>
      <c r="G710" s="80"/>
    </row>
    <row r="711" spans="1:7" x14ac:dyDescent="0.2">
      <c r="A711" s="323"/>
      <c r="B711" s="101"/>
      <c r="C711" s="177"/>
      <c r="D711" s="84"/>
      <c r="E711" s="85"/>
      <c r="F711" s="79"/>
      <c r="G711" s="80"/>
    </row>
    <row r="712" spans="1:7" x14ac:dyDescent="0.2">
      <c r="A712" s="323"/>
      <c r="B712" s="101"/>
      <c r="C712" s="177"/>
      <c r="D712" s="84"/>
      <c r="E712" s="85"/>
      <c r="F712" s="79"/>
      <c r="G712" s="80"/>
    </row>
    <row r="713" spans="1:7" x14ac:dyDescent="0.2">
      <c r="A713" s="323"/>
      <c r="B713" s="101"/>
      <c r="C713" s="177"/>
      <c r="D713" s="84"/>
      <c r="E713" s="85"/>
      <c r="F713" s="79"/>
      <c r="G713" s="80"/>
    </row>
    <row r="714" spans="1:7" x14ac:dyDescent="0.2">
      <c r="A714" s="323"/>
      <c r="B714" s="101"/>
      <c r="C714" s="177"/>
      <c r="D714" s="84"/>
      <c r="E714" s="85"/>
      <c r="F714" s="79"/>
      <c r="G714" s="80"/>
    </row>
    <row r="715" spans="1:7" x14ac:dyDescent="0.2">
      <c r="A715" s="323"/>
      <c r="B715" s="101"/>
      <c r="C715" s="177"/>
      <c r="D715" s="84"/>
      <c r="E715" s="85"/>
      <c r="F715" s="79"/>
      <c r="G715" s="80"/>
    </row>
    <row r="716" spans="1:7" x14ac:dyDescent="0.2">
      <c r="A716" s="323"/>
      <c r="B716" s="101"/>
      <c r="C716" s="177"/>
      <c r="D716" s="84"/>
      <c r="E716" s="85"/>
      <c r="F716" s="79"/>
      <c r="G716" s="80"/>
    </row>
    <row r="717" spans="1:7" x14ac:dyDescent="0.2">
      <c r="A717" s="323"/>
      <c r="B717" s="101"/>
      <c r="C717" s="177"/>
      <c r="D717" s="84"/>
      <c r="E717" s="85"/>
      <c r="F717" s="79"/>
      <c r="G717" s="80"/>
    </row>
    <row r="718" spans="1:7" x14ac:dyDescent="0.2">
      <c r="A718" s="323"/>
      <c r="B718" s="101"/>
      <c r="C718" s="177"/>
      <c r="D718" s="84"/>
      <c r="E718" s="85"/>
      <c r="F718" s="79"/>
      <c r="G718" s="80"/>
    </row>
    <row r="719" spans="1:7" x14ac:dyDescent="0.2">
      <c r="A719" s="323"/>
      <c r="B719" s="101"/>
      <c r="C719" s="177"/>
      <c r="D719" s="84"/>
      <c r="E719" s="85"/>
      <c r="F719" s="79"/>
      <c r="G719" s="80"/>
    </row>
    <row r="720" spans="1:7" x14ac:dyDescent="0.2">
      <c r="A720" s="323"/>
      <c r="B720" s="101"/>
      <c r="C720" s="177"/>
      <c r="D720" s="84"/>
      <c r="E720" s="85"/>
      <c r="F720" s="79"/>
      <c r="G720" s="80"/>
    </row>
    <row r="721" spans="1:7" x14ac:dyDescent="0.2">
      <c r="A721" s="323"/>
      <c r="B721" s="101"/>
      <c r="C721" s="177"/>
      <c r="D721" s="84"/>
      <c r="E721" s="85"/>
      <c r="F721" s="79"/>
      <c r="G721" s="80"/>
    </row>
    <row r="722" spans="1:7" x14ac:dyDescent="0.2">
      <c r="A722" s="323"/>
      <c r="B722" s="101"/>
      <c r="C722" s="177"/>
      <c r="D722" s="84"/>
      <c r="E722" s="85"/>
      <c r="F722" s="79"/>
      <c r="G722" s="80"/>
    </row>
    <row r="723" spans="1:7" x14ac:dyDescent="0.2">
      <c r="A723" s="323"/>
      <c r="B723" s="101"/>
      <c r="C723" s="177"/>
      <c r="D723" s="84"/>
      <c r="E723" s="85"/>
      <c r="F723" s="79"/>
      <c r="G723" s="80"/>
    </row>
    <row r="724" spans="1:7" x14ac:dyDescent="0.2">
      <c r="A724" s="323"/>
      <c r="B724" s="101"/>
      <c r="C724" s="177"/>
      <c r="D724" s="84"/>
      <c r="E724" s="85"/>
      <c r="F724" s="79"/>
      <c r="G724" s="80"/>
    </row>
    <row r="725" spans="1:7" x14ac:dyDescent="0.2">
      <c r="A725" s="323"/>
      <c r="B725" s="101"/>
      <c r="C725" s="177"/>
      <c r="D725" s="84"/>
      <c r="E725" s="85"/>
      <c r="F725" s="79"/>
      <c r="G725" s="80"/>
    </row>
    <row r="726" spans="1:7" x14ac:dyDescent="0.2">
      <c r="A726" s="323"/>
      <c r="B726" s="101"/>
      <c r="C726" s="177"/>
      <c r="D726" s="84"/>
      <c r="E726" s="85"/>
      <c r="F726" s="79"/>
      <c r="G726" s="80"/>
    </row>
    <row r="727" spans="1:7" x14ac:dyDescent="0.2">
      <c r="A727" s="323"/>
      <c r="B727" s="101"/>
      <c r="C727" s="177"/>
      <c r="D727" s="84"/>
      <c r="E727" s="85"/>
      <c r="F727" s="79"/>
      <c r="G727" s="80"/>
    </row>
    <row r="728" spans="1:7" x14ac:dyDescent="0.2">
      <c r="A728" s="323"/>
      <c r="B728" s="101"/>
      <c r="C728" s="177"/>
      <c r="D728" s="84"/>
      <c r="E728" s="85"/>
      <c r="F728" s="79"/>
      <c r="G728" s="80"/>
    </row>
    <row r="729" spans="1:7" x14ac:dyDescent="0.2">
      <c r="A729" s="323"/>
      <c r="B729" s="101"/>
      <c r="C729" s="177"/>
      <c r="D729" s="84"/>
      <c r="E729" s="85"/>
      <c r="F729" s="79"/>
      <c r="G729" s="80"/>
    </row>
    <row r="730" spans="1:7" x14ac:dyDescent="0.2">
      <c r="A730" s="323"/>
      <c r="B730" s="101"/>
      <c r="C730" s="177"/>
      <c r="D730" s="84"/>
      <c r="E730" s="85"/>
      <c r="F730" s="79"/>
      <c r="G730" s="80"/>
    </row>
    <row r="731" spans="1:7" x14ac:dyDescent="0.2">
      <c r="A731" s="323"/>
      <c r="B731" s="101"/>
      <c r="C731" s="177"/>
      <c r="D731" s="84"/>
      <c r="E731" s="85"/>
      <c r="F731" s="79"/>
      <c r="G731" s="80"/>
    </row>
    <row r="732" spans="1:7" x14ac:dyDescent="0.2">
      <c r="A732" s="323"/>
      <c r="B732" s="101"/>
      <c r="C732" s="177"/>
      <c r="D732" s="84"/>
      <c r="E732" s="85"/>
      <c r="F732" s="79"/>
      <c r="G732" s="80"/>
    </row>
    <row r="733" spans="1:7" x14ac:dyDescent="0.2">
      <c r="A733" s="323"/>
      <c r="B733" s="101"/>
      <c r="C733" s="177"/>
      <c r="D733" s="84"/>
      <c r="E733" s="85"/>
      <c r="F733" s="79"/>
      <c r="G733" s="80"/>
    </row>
    <row r="734" spans="1:7" x14ac:dyDescent="0.2">
      <c r="A734" s="323"/>
      <c r="B734" s="101"/>
      <c r="C734" s="177"/>
      <c r="D734" s="84"/>
      <c r="E734" s="85"/>
      <c r="F734" s="79"/>
      <c r="G734" s="80"/>
    </row>
    <row r="735" spans="1:7" x14ac:dyDescent="0.2">
      <c r="A735" s="323"/>
      <c r="B735" s="101"/>
      <c r="C735" s="177"/>
      <c r="D735" s="84"/>
      <c r="E735" s="85"/>
      <c r="F735" s="79"/>
      <c r="G735" s="80"/>
    </row>
    <row r="736" spans="1:7" x14ac:dyDescent="0.2">
      <c r="A736" s="323"/>
      <c r="B736" s="101"/>
      <c r="C736" s="177"/>
      <c r="D736" s="84"/>
      <c r="E736" s="85"/>
      <c r="F736" s="79"/>
      <c r="G736" s="80"/>
    </row>
    <row r="737" spans="1:7" ht="12.75" thickBot="1" x14ac:dyDescent="0.25">
      <c r="A737" s="323"/>
      <c r="B737" s="101"/>
      <c r="C737" s="177"/>
      <c r="D737" s="84"/>
      <c r="E737" s="85"/>
      <c r="F737" s="79"/>
      <c r="G737" s="80"/>
    </row>
    <row r="738" spans="1:7" x14ac:dyDescent="0.2">
      <c r="A738" s="403"/>
      <c r="B738" s="357" t="s">
        <v>319</v>
      </c>
      <c r="C738" s="400"/>
      <c r="D738" s="373"/>
      <c r="E738" s="402"/>
      <c r="F738" s="373"/>
      <c r="G738" s="374"/>
    </row>
    <row r="739" spans="1:7" ht="12.75" thickBot="1" x14ac:dyDescent="0.25">
      <c r="A739" s="351"/>
      <c r="B739" s="352" t="s">
        <v>320</v>
      </c>
      <c r="C739" s="353"/>
      <c r="D739" s="354"/>
      <c r="E739" s="355"/>
      <c r="F739" s="354"/>
      <c r="G739" s="356">
        <f>SUM(G685:G738)</f>
        <v>0</v>
      </c>
    </row>
  </sheetData>
  <mergeCells count="22">
    <mergeCell ref="B498:F498"/>
    <mergeCell ref="B499:F499"/>
    <mergeCell ref="B500:F500"/>
    <mergeCell ref="B501:F501"/>
    <mergeCell ref="B502:F502"/>
    <mergeCell ref="A1:G1"/>
    <mergeCell ref="B351:G351"/>
    <mergeCell ref="B221:E221"/>
    <mergeCell ref="B264:E264"/>
    <mergeCell ref="B265:E265"/>
    <mergeCell ref="B266:E266"/>
    <mergeCell ref="B219:F219"/>
    <mergeCell ref="B220:F220"/>
    <mergeCell ref="B114:E114"/>
    <mergeCell ref="B115:E115"/>
    <mergeCell ref="B116:E116"/>
    <mergeCell ref="B117:E117"/>
    <mergeCell ref="B536:E536"/>
    <mergeCell ref="B537:E537"/>
    <mergeCell ref="B538:E538"/>
    <mergeCell ref="B539:E539"/>
    <mergeCell ref="B540:E540"/>
  </mergeCells>
  <pageMargins left="0.78740157499999996" right="0.59055118110236204" top="0.55000000000000004" bottom="0.45" header="0.23622047244094499" footer="0.23622047244094499"/>
  <pageSetup orientation="portrait" horizontalDpi="4294967293" verticalDpi="300" r:id="rId1"/>
  <headerFooter>
    <oddHeader>&amp;L&amp;8 GA.VILLIGILY SCHOOL &amp;R&amp;9Bill of Quantities</oddHeader>
    <oddFooter>&amp;L&amp;8MAY, 2015&amp;C&amp;8&amp;P&amp;R&amp;8ArchEng Studio Pvt. Ltd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AISHATH HUSSAIN</cp:lastModifiedBy>
  <cp:lastPrinted>2015-06-05T11:33:18Z</cp:lastPrinted>
  <dcterms:created xsi:type="dcterms:W3CDTF">2011-03-24T06:48:27Z</dcterms:created>
  <dcterms:modified xsi:type="dcterms:W3CDTF">2016-03-13T03:55:55Z</dcterms:modified>
</cp:coreProperties>
</file>