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shafeeulla\Desktop\Revised BOQs\DH.Kudahuvadhoo\"/>
    </mc:Choice>
  </mc:AlternateContent>
  <bookViews>
    <workbookView xWindow="120" yWindow="255" windowWidth="15135" windowHeight="7755" activeTab="2"/>
  </bookViews>
  <sheets>
    <sheet name="Cover " sheetId="4" r:id="rId1"/>
    <sheet name="Summary" sheetId="2" r:id="rId2"/>
    <sheet name="Boq" sheetId="1" r:id="rId3"/>
  </sheets>
  <definedNames>
    <definedName name="_xlnm.Print_Area" localSheetId="2">Boq!$A$1:$G$1222</definedName>
    <definedName name="_xlnm.Print_Area" localSheetId="0">'Cover '!$A$1:$I$53</definedName>
    <definedName name="_xlnm.Print_Area" localSheetId="1">Summary!$A$1:$C$21</definedName>
    <definedName name="_xlnm.Print_Titles" localSheetId="2">Boq!$3:$3</definedName>
  </definedNames>
  <calcPr calcId="152511" iterate="1" iterateCount="50"/>
</workbook>
</file>

<file path=xl/calcChain.xml><?xml version="1.0" encoding="utf-8"?>
<calcChain xmlns="http://schemas.openxmlformats.org/spreadsheetml/2006/main">
  <c r="G120" i="1" l="1"/>
  <c r="I195" i="1" l="1"/>
  <c r="I136" i="1"/>
  <c r="I197" i="1"/>
  <c r="J138" i="1"/>
  <c r="I138" i="1"/>
  <c r="K138" i="1" l="1"/>
  <c r="I167" i="1" l="1"/>
  <c r="J167" i="1" s="1"/>
  <c r="I168" i="1"/>
  <c r="I164" i="1"/>
  <c r="I149" i="1"/>
  <c r="I672" i="1"/>
  <c r="I396" i="1"/>
  <c r="I391" i="1"/>
  <c r="I74" i="1"/>
  <c r="G812" i="1" l="1"/>
  <c r="G811" i="1"/>
  <c r="G810" i="1"/>
  <c r="D809" i="1"/>
  <c r="G809" i="1" s="1"/>
  <c r="G808" i="1"/>
  <c r="D807" i="1"/>
  <c r="G807" i="1" s="1"/>
  <c r="D806" i="1"/>
  <c r="G806" i="1" s="1"/>
  <c r="D805" i="1"/>
  <c r="G805" i="1" s="1"/>
  <c r="D804" i="1"/>
  <c r="G804" i="1" s="1"/>
  <c r="G803" i="1"/>
  <c r="G802" i="1"/>
  <c r="I748" i="1"/>
  <c r="I743" i="1"/>
  <c r="I742" i="1"/>
  <c r="I464" i="1"/>
  <c r="J464" i="1" s="1"/>
  <c r="K464" i="1" s="1"/>
  <c r="I458" i="1"/>
  <c r="J458" i="1" s="1"/>
  <c r="N464" i="1"/>
  <c r="M464" i="1"/>
  <c r="I463" i="1"/>
  <c r="J463" i="1" s="1"/>
  <c r="N462" i="1"/>
  <c r="I462" i="1"/>
  <c r="P461" i="1"/>
  <c r="N461" i="1"/>
  <c r="O461" i="1" s="1"/>
  <c r="I461" i="1"/>
  <c r="J461" i="1" s="1"/>
  <c r="L461" i="1" s="1"/>
  <c r="D692" i="1"/>
  <c r="D691" i="1"/>
  <c r="I703" i="1"/>
  <c r="J703" i="1" s="1"/>
  <c r="L668" i="1"/>
  <c r="J668" i="1"/>
  <c r="I668" i="1"/>
  <c r="I663" i="1"/>
  <c r="G666" i="1"/>
  <c r="G648" i="1"/>
  <c r="G635" i="1"/>
  <c r="D582" i="1"/>
  <c r="D583" i="1"/>
  <c r="I552" i="1"/>
  <c r="I531" i="1"/>
  <c r="L495" i="1"/>
  <c r="I526" i="1"/>
  <c r="I510" i="1"/>
  <c r="G510" i="1"/>
  <c r="I509" i="1"/>
  <c r="G509" i="1"/>
  <c r="I508" i="1"/>
  <c r="G508" i="1"/>
  <c r="I507" i="1"/>
  <c r="G507" i="1"/>
  <c r="K495" i="1"/>
  <c r="J495" i="1"/>
  <c r="I495" i="1"/>
  <c r="I494" i="1"/>
  <c r="I501" i="1"/>
  <c r="I504" i="1"/>
  <c r="D513" i="1"/>
  <c r="D573" i="1" s="1"/>
  <c r="G464" i="1"/>
  <c r="G463" i="1"/>
  <c r="G462" i="1"/>
  <c r="G461" i="1"/>
  <c r="N456" i="1"/>
  <c r="I455" i="1"/>
  <c r="J455" i="1" s="1"/>
  <c r="N452" i="1"/>
  <c r="I452" i="1"/>
  <c r="J452" i="1" s="1"/>
  <c r="K452" i="1" s="1"/>
  <c r="M452" i="1"/>
  <c r="K450" i="1"/>
  <c r="I449" i="1"/>
  <c r="J449" i="1" s="1"/>
  <c r="L449" i="1" s="1"/>
  <c r="I434" i="1"/>
  <c r="J434" i="1" s="1"/>
  <c r="I420" i="1"/>
  <c r="J420" i="1" s="1"/>
  <c r="K434" i="1"/>
  <c r="I417" i="1"/>
  <c r="M416" i="1"/>
  <c r="Q449" i="1"/>
  <c r="O449" i="1"/>
  <c r="P449" i="1" s="1"/>
  <c r="M449" i="1"/>
  <c r="I433" i="1"/>
  <c r="J433" i="1" s="1"/>
  <c r="I431" i="1"/>
  <c r="M430" i="1"/>
  <c r="I430" i="1"/>
  <c r="J430" i="1" s="1"/>
  <c r="K420" i="1"/>
  <c r="I419" i="1"/>
  <c r="J419" i="1" s="1"/>
  <c r="I607" i="1"/>
  <c r="J607" i="1" s="1"/>
  <c r="G607" i="1"/>
  <c r="I606" i="1"/>
  <c r="J606" i="1" s="1"/>
  <c r="G606" i="1"/>
  <c r="I605" i="1"/>
  <c r="J605" i="1" s="1"/>
  <c r="G605" i="1"/>
  <c r="I603" i="1"/>
  <c r="J603" i="1" s="1"/>
  <c r="G603" i="1"/>
  <c r="I602" i="1"/>
  <c r="J602" i="1" s="1"/>
  <c r="G602" i="1"/>
  <c r="I416" i="1"/>
  <c r="J416" i="1" s="1"/>
  <c r="J396" i="1"/>
  <c r="J389" i="1"/>
  <c r="I389" i="1"/>
  <c r="I373" i="1"/>
  <c r="I237" i="1"/>
  <c r="I228" i="1"/>
  <c r="G228" i="1"/>
  <c r="I227" i="1"/>
  <c r="G227" i="1"/>
  <c r="I226" i="1"/>
  <c r="G226" i="1"/>
  <c r="I225" i="1"/>
  <c r="G225" i="1"/>
  <c r="I224" i="1"/>
  <c r="G224" i="1"/>
  <c r="I213" i="1"/>
  <c r="K204" i="1"/>
  <c r="L204" i="1" s="1"/>
  <c r="I212" i="1"/>
  <c r="I210" i="1"/>
  <c r="I211" i="1"/>
  <c r="I209" i="1"/>
  <c r="I174" i="1"/>
  <c r="J174" i="1" s="1"/>
  <c r="L174" i="1"/>
  <c r="K174" i="1"/>
  <c r="I175" i="1"/>
  <c r="J175" i="1" s="1"/>
  <c r="I173" i="1"/>
  <c r="J173" i="1" s="1"/>
  <c r="K172" i="1"/>
  <c r="L172" i="1" s="1"/>
  <c r="I172" i="1"/>
  <c r="J172" i="1" s="1"/>
  <c r="M172" i="1"/>
  <c r="I159" i="1"/>
  <c r="J159" i="1" s="1"/>
  <c r="I160" i="1"/>
  <c r="J160" i="1" s="1"/>
  <c r="I162" i="1"/>
  <c r="J162" i="1"/>
  <c r="L162" i="1"/>
  <c r="I165" i="1"/>
  <c r="I166" i="1"/>
  <c r="G168" i="1"/>
  <c r="G167" i="1"/>
  <c r="G166" i="1"/>
  <c r="G165" i="1"/>
  <c r="G164" i="1"/>
  <c r="G162" i="1"/>
  <c r="G161" i="1"/>
  <c r="G160" i="1"/>
  <c r="G159" i="1"/>
  <c r="I153" i="1"/>
  <c r="I152" i="1"/>
  <c r="I151" i="1"/>
  <c r="I150" i="1"/>
  <c r="K140" i="1"/>
  <c r="O464" i="1" l="1"/>
  <c r="P464" i="1" s="1"/>
  <c r="K668" i="1"/>
  <c r="N668" i="1" s="1"/>
  <c r="M462" i="1"/>
  <c r="O462" i="1" s="1"/>
  <c r="P462" i="1" s="1"/>
  <c r="M461" i="1"/>
  <c r="M420" i="1"/>
  <c r="N420" i="1" s="1"/>
  <c r="O420" i="1" s="1"/>
  <c r="M434" i="1"/>
  <c r="N434" i="1" s="1"/>
  <c r="O434" i="1" s="1"/>
  <c r="N449" i="1"/>
  <c r="J450" i="1" s="1"/>
  <c r="L450" i="1" s="1"/>
  <c r="M450" i="1" s="1"/>
  <c r="L430" i="1"/>
  <c r="N430" i="1" s="1"/>
  <c r="O430" i="1" s="1"/>
  <c r="K162" i="1"/>
  <c r="M162" i="1" s="1"/>
  <c r="N162" i="1" s="1"/>
  <c r="P162" i="1" s="1"/>
  <c r="N172" i="1"/>
  <c r="M174" i="1"/>
  <c r="I177" i="1"/>
  <c r="I130" i="1"/>
  <c r="J130" i="1" s="1"/>
  <c r="G857" i="1" l="1"/>
  <c r="G856" i="1"/>
  <c r="G855" i="1"/>
  <c r="G854" i="1"/>
  <c r="D853" i="1"/>
  <c r="G853" i="1" s="1"/>
  <c r="G852" i="1"/>
  <c r="D851" i="1"/>
  <c r="G851" i="1" s="1"/>
  <c r="D850" i="1"/>
  <c r="G850" i="1" s="1"/>
  <c r="D849" i="1"/>
  <c r="G849" i="1" s="1"/>
  <c r="D848" i="1"/>
  <c r="G848" i="1" s="1"/>
  <c r="G847" i="1"/>
  <c r="G846" i="1"/>
  <c r="G844" i="1"/>
  <c r="G843" i="1"/>
  <c r="G577" i="1"/>
  <c r="G578" i="1"/>
  <c r="G1060" i="1"/>
  <c r="G1059" i="1"/>
  <c r="G1058" i="1"/>
  <c r="G1057" i="1"/>
  <c r="G1056" i="1"/>
  <c r="G1055" i="1"/>
  <c r="G1054" i="1"/>
  <c r="D1010" i="1"/>
  <c r="G1010" i="1" s="1"/>
  <c r="D1009" i="1"/>
  <c r="G1009" i="1" s="1"/>
  <c r="D1008" i="1"/>
  <c r="G1008" i="1" s="1"/>
  <c r="D1007" i="1"/>
  <c r="G1007" i="1" s="1"/>
  <c r="D1006" i="1"/>
  <c r="G1006" i="1" s="1"/>
  <c r="D1005" i="1"/>
  <c r="G1005" i="1" s="1"/>
  <c r="D1004" i="1"/>
  <c r="G1004" i="1" s="1"/>
  <c r="D1003" i="1"/>
  <c r="G1003" i="1" s="1"/>
  <c r="G1002" i="1"/>
  <c r="G1001" i="1"/>
  <c r="G1000" i="1"/>
  <c r="G999" i="1"/>
  <c r="G998" i="1"/>
  <c r="G997" i="1"/>
  <c r="G996" i="1"/>
  <c r="D995" i="1"/>
  <c r="G995" i="1" s="1"/>
  <c r="G994" i="1"/>
  <c r="G993" i="1"/>
  <c r="G992" i="1"/>
  <c r="G991" i="1"/>
  <c r="G990" i="1"/>
  <c r="G989" i="1"/>
  <c r="G988" i="1"/>
  <c r="G987" i="1"/>
  <c r="G986" i="1"/>
  <c r="G985" i="1"/>
  <c r="G984" i="1"/>
  <c r="G983" i="1"/>
  <c r="G982" i="1"/>
  <c r="G981" i="1"/>
  <c r="G980" i="1"/>
  <c r="D972" i="1"/>
  <c r="G972" i="1" s="1"/>
  <c r="D977" i="1"/>
  <c r="G977" i="1" s="1"/>
  <c r="D976" i="1"/>
  <c r="G976" i="1" s="1"/>
  <c r="D975" i="1"/>
  <c r="G975" i="1" s="1"/>
  <c r="D974" i="1"/>
  <c r="G974" i="1" s="1"/>
  <c r="D973" i="1"/>
  <c r="G973" i="1" s="1"/>
  <c r="D971" i="1"/>
  <c r="G971" i="1" s="1"/>
  <c r="D970" i="1"/>
  <c r="G970" i="1" s="1"/>
  <c r="G969" i="1"/>
  <c r="G968" i="1"/>
  <c r="G967" i="1"/>
  <c r="G966" i="1"/>
  <c r="G965" i="1"/>
  <c r="G964" i="1"/>
  <c r="G963" i="1"/>
  <c r="D962" i="1"/>
  <c r="G962" i="1" s="1"/>
  <c r="G961" i="1"/>
  <c r="G960" i="1"/>
  <c r="G959" i="1"/>
  <c r="G958" i="1"/>
  <c r="G957" i="1"/>
  <c r="G956" i="1"/>
  <c r="G955" i="1"/>
  <c r="G954" i="1"/>
  <c r="D937" i="1"/>
  <c r="D936" i="1"/>
  <c r="G924" i="1"/>
  <c r="G31" i="1"/>
  <c r="G30" i="1"/>
  <c r="L140" i="1"/>
  <c r="J391" i="1"/>
  <c r="G736" i="1"/>
  <c r="J577" i="1"/>
  <c r="I577" i="1"/>
  <c r="I576" i="1"/>
  <c r="G576" i="1"/>
  <c r="D824" i="1"/>
  <c r="G703" i="1"/>
  <c r="G702" i="1"/>
  <c r="G701" i="1"/>
  <c r="I669" i="1"/>
  <c r="G513" i="1"/>
  <c r="G573" i="1"/>
  <c r="D584" i="1"/>
  <c r="G584" i="1" s="1"/>
  <c r="G569" i="1"/>
  <c r="G567" i="1"/>
  <c r="G566" i="1"/>
  <c r="G565" i="1"/>
  <c r="G561" i="1"/>
  <c r="G559" i="1"/>
  <c r="G557" i="1"/>
  <c r="I550" i="1"/>
  <c r="K549" i="1"/>
  <c r="I549" i="1"/>
  <c r="J549" i="1" s="1"/>
  <c r="K548" i="1"/>
  <c r="I548" i="1"/>
  <c r="J548" i="1" s="1"/>
  <c r="G545" i="1"/>
  <c r="D526" i="1"/>
  <c r="G506" i="1"/>
  <c r="G504" i="1"/>
  <c r="G503" i="1"/>
  <c r="I502" i="1"/>
  <c r="J496" i="1"/>
  <c r="I496" i="1"/>
  <c r="I497" i="1"/>
  <c r="J497" i="1" s="1"/>
  <c r="P455" i="1"/>
  <c r="N455" i="1"/>
  <c r="O455" i="1" s="1"/>
  <c r="I726" i="1"/>
  <c r="G726" i="1"/>
  <c r="G725" i="1"/>
  <c r="I733" i="1"/>
  <c r="L455" i="1"/>
  <c r="K458" i="1"/>
  <c r="N458" i="1"/>
  <c r="M458" i="1"/>
  <c r="I457" i="1"/>
  <c r="J457" i="1" s="1"/>
  <c r="I456" i="1"/>
  <c r="L416" i="1"/>
  <c r="N416" i="1" s="1"/>
  <c r="I620" i="1"/>
  <c r="I619" i="1"/>
  <c r="I618" i="1"/>
  <c r="I616" i="1"/>
  <c r="J616" i="1" s="1"/>
  <c r="I615" i="1"/>
  <c r="J615" i="1" s="1"/>
  <c r="I614" i="1"/>
  <c r="I601" i="1"/>
  <c r="L672" i="1"/>
  <c r="M672" i="1" s="1"/>
  <c r="G668" i="1"/>
  <c r="Q416" i="1" l="1"/>
  <c r="O416" i="1"/>
  <c r="L605" i="1"/>
  <c r="J601" i="1"/>
  <c r="J608" i="1" s="1"/>
  <c r="L608" i="1" s="1"/>
  <c r="K577" i="1"/>
  <c r="L549" i="1"/>
  <c r="O452" i="1"/>
  <c r="P452" i="1" s="1"/>
  <c r="M455" i="1"/>
  <c r="M456" i="1"/>
  <c r="O456" i="1" s="1"/>
  <c r="P456" i="1" s="1"/>
  <c r="O458" i="1"/>
  <c r="P458" i="1" s="1"/>
  <c r="K633" i="1"/>
  <c r="G647" i="1"/>
  <c r="I645" i="1"/>
  <c r="J645" i="1" s="1"/>
  <c r="G645" i="1"/>
  <c r="I644" i="1"/>
  <c r="J644" i="1" s="1"/>
  <c r="G644" i="1"/>
  <c r="I643" i="1"/>
  <c r="J643" i="1" s="1"/>
  <c r="G643" i="1"/>
  <c r="J642" i="1"/>
  <c r="G640" i="1"/>
  <c r="G639" i="1"/>
  <c r="I638" i="1"/>
  <c r="J638" i="1" s="1"/>
  <c r="G638" i="1"/>
  <c r="G616" i="1"/>
  <c r="G615" i="1"/>
  <c r="G614" i="1"/>
  <c r="J372" i="1"/>
  <c r="K369" i="1"/>
  <c r="L369" i="1" s="1"/>
  <c r="M369" i="1" s="1"/>
  <c r="I235" i="1"/>
  <c r="J235" i="1" s="1"/>
  <c r="L365" i="1"/>
  <c r="K365" i="1"/>
  <c r="K361" i="1"/>
  <c r="L361" i="1"/>
  <c r="J373" i="1" l="1"/>
  <c r="K373" i="1" s="1"/>
  <c r="L373" i="1" s="1"/>
  <c r="L643" i="1"/>
  <c r="J646" i="1"/>
  <c r="K646" i="1" s="1"/>
  <c r="I370" i="1"/>
  <c r="G370" i="1"/>
  <c r="I369" i="1"/>
  <c r="G369" i="1"/>
  <c r="I366" i="1"/>
  <c r="G366" i="1"/>
  <c r="M365" i="1"/>
  <c r="N365" i="1" s="1"/>
  <c r="O365" i="1" s="1"/>
  <c r="I365" i="1"/>
  <c r="G365" i="1"/>
  <c r="I374" i="1"/>
  <c r="D372" i="1" s="1"/>
  <c r="D374" i="1" s="1"/>
  <c r="G374" i="1" s="1"/>
  <c r="G373" i="1"/>
  <c r="I362" i="1"/>
  <c r="G362" i="1"/>
  <c r="M361" i="1"/>
  <c r="N361" i="1" s="1"/>
  <c r="I361" i="1"/>
  <c r="G361" i="1"/>
  <c r="I358" i="1"/>
  <c r="G358" i="1"/>
  <c r="K357" i="1"/>
  <c r="L357" i="1" s="1"/>
  <c r="M357" i="1" s="1"/>
  <c r="I357" i="1"/>
  <c r="G357" i="1"/>
  <c r="I351" i="1"/>
  <c r="G351" i="1"/>
  <c r="J350" i="1"/>
  <c r="K350" i="1" s="1"/>
  <c r="I350" i="1"/>
  <c r="G350" i="1"/>
  <c r="I347" i="1"/>
  <c r="G347" i="1"/>
  <c r="J346" i="1"/>
  <c r="I346" i="1"/>
  <c r="G346" i="1"/>
  <c r="I343" i="1"/>
  <c r="G343" i="1"/>
  <c r="J342" i="1"/>
  <c r="I342" i="1"/>
  <c r="G342" i="1"/>
  <c r="I337" i="1"/>
  <c r="G337" i="1"/>
  <c r="J336" i="1"/>
  <c r="I336" i="1"/>
  <c r="G336" i="1"/>
  <c r="I333" i="1"/>
  <c r="G333" i="1"/>
  <c r="M332" i="1"/>
  <c r="N332" i="1" s="1"/>
  <c r="L332" i="1"/>
  <c r="J332" i="1"/>
  <c r="I332" i="1"/>
  <c r="G332" i="1"/>
  <c r="I328" i="1"/>
  <c r="G328" i="1"/>
  <c r="I327" i="1"/>
  <c r="G327" i="1"/>
  <c r="O326" i="1"/>
  <c r="M326" i="1"/>
  <c r="K326" i="1"/>
  <c r="J326" i="1"/>
  <c r="I324" i="1"/>
  <c r="G324" i="1"/>
  <c r="J323" i="1"/>
  <c r="K323" i="1" s="1"/>
  <c r="I323" i="1"/>
  <c r="G323" i="1"/>
  <c r="I320" i="1"/>
  <c r="G320" i="1"/>
  <c r="J319" i="1"/>
  <c r="K319" i="1" s="1"/>
  <c r="L319" i="1" s="1"/>
  <c r="M319" i="1" s="1"/>
  <c r="I319" i="1"/>
  <c r="G319" i="1"/>
  <c r="G316" i="1"/>
  <c r="J274" i="1"/>
  <c r="L274" i="1" s="1"/>
  <c r="M274" i="1" s="1"/>
  <c r="N274" i="1" s="1"/>
  <c r="J269" i="1"/>
  <c r="K269" i="1" s="1"/>
  <c r="L269" i="1" s="1"/>
  <c r="M269" i="1" s="1"/>
  <c r="I279" i="1"/>
  <c r="G279" i="1"/>
  <c r="O277" i="1"/>
  <c r="M277" i="1"/>
  <c r="K277" i="1"/>
  <c r="J277" i="1"/>
  <c r="L147" i="1"/>
  <c r="I303" i="1"/>
  <c r="I304" i="1" s="1"/>
  <c r="D302" i="1" s="1"/>
  <c r="G303" i="1"/>
  <c r="I300" i="1"/>
  <c r="G300" i="1"/>
  <c r="J299" i="1"/>
  <c r="K299" i="1" s="1"/>
  <c r="I299" i="1"/>
  <c r="G299" i="1"/>
  <c r="I296" i="1"/>
  <c r="G296" i="1"/>
  <c r="J295" i="1"/>
  <c r="I295" i="1"/>
  <c r="G295" i="1"/>
  <c r="I292" i="1"/>
  <c r="G292" i="1"/>
  <c r="J291" i="1"/>
  <c r="I291" i="1"/>
  <c r="G291" i="1"/>
  <c r="I288" i="1"/>
  <c r="G288" i="1"/>
  <c r="J287" i="1"/>
  <c r="I287" i="1"/>
  <c r="G287" i="1"/>
  <c r="I284" i="1"/>
  <c r="G284" i="1"/>
  <c r="M283" i="1"/>
  <c r="N283" i="1" s="1"/>
  <c r="L283" i="1"/>
  <c r="J283" i="1"/>
  <c r="I283" i="1"/>
  <c r="G283" i="1"/>
  <c r="M262" i="1"/>
  <c r="N262" i="1" s="1"/>
  <c r="O262" i="1" s="1"/>
  <c r="K263" i="1" s="1"/>
  <c r="L263" i="1" s="1"/>
  <c r="I257" i="1"/>
  <c r="I258" i="1" s="1"/>
  <c r="G257" i="1"/>
  <c r="L326" i="1" l="1"/>
  <c r="N326" i="1" s="1"/>
  <c r="Q326" i="1" s="1"/>
  <c r="K327" i="1" s="1"/>
  <c r="L327" i="1" s="1"/>
  <c r="M327" i="1" s="1"/>
  <c r="N327" i="1" s="1"/>
  <c r="O327" i="1" s="1"/>
  <c r="I289" i="1"/>
  <c r="D286" i="1" s="1"/>
  <c r="D289" i="1" s="1"/>
  <c r="G289" i="1" s="1"/>
  <c r="I371" i="1"/>
  <c r="D368" i="1" s="1"/>
  <c r="G368" i="1" s="1"/>
  <c r="I367" i="1"/>
  <c r="D364" i="1" s="1"/>
  <c r="D367" i="1" s="1"/>
  <c r="G367" i="1" s="1"/>
  <c r="I359" i="1"/>
  <c r="D356" i="1" s="1"/>
  <c r="D359" i="1" s="1"/>
  <c r="G359" i="1" s="1"/>
  <c r="I334" i="1"/>
  <c r="D331" i="1" s="1"/>
  <c r="D334" i="1" s="1"/>
  <c r="G334" i="1" s="1"/>
  <c r="I285" i="1"/>
  <c r="D282" i="1" s="1"/>
  <c r="D285" i="1" s="1"/>
  <c r="G285" i="1" s="1"/>
  <c r="I321" i="1"/>
  <c r="D318" i="1" s="1"/>
  <c r="D321" i="1" s="1"/>
  <c r="G321" i="1" s="1"/>
  <c r="I352" i="1"/>
  <c r="D349" i="1" s="1"/>
  <c r="G349" i="1" s="1"/>
  <c r="I363" i="1"/>
  <c r="D360" i="1" s="1"/>
  <c r="D363" i="1" s="1"/>
  <c r="G363" i="1" s="1"/>
  <c r="P365" i="1"/>
  <c r="O361" i="1"/>
  <c r="P361" i="1" s="1"/>
  <c r="G372" i="1"/>
  <c r="I325" i="1"/>
  <c r="D322" i="1" s="1"/>
  <c r="D325" i="1" s="1"/>
  <c r="G325" i="1" s="1"/>
  <c r="I297" i="1"/>
  <c r="D294" i="1" s="1"/>
  <c r="D297" i="1" s="1"/>
  <c r="G297" i="1" s="1"/>
  <c r="K274" i="1"/>
  <c r="O274" i="1" s="1"/>
  <c r="P274" i="1" s="1"/>
  <c r="I329" i="1"/>
  <c r="D326" i="1" s="1"/>
  <c r="G326" i="1" s="1"/>
  <c r="I301" i="1"/>
  <c r="D298" i="1" s="1"/>
  <c r="D301" i="1" s="1"/>
  <c r="G301" i="1" s="1"/>
  <c r="I338" i="1"/>
  <c r="D335" i="1" s="1"/>
  <c r="G335" i="1" s="1"/>
  <c r="I293" i="1"/>
  <c r="D290" i="1" s="1"/>
  <c r="G290" i="1" s="1"/>
  <c r="I344" i="1"/>
  <c r="D341" i="1" s="1"/>
  <c r="G341" i="1" s="1"/>
  <c r="L277" i="1"/>
  <c r="N277" i="1" s="1"/>
  <c r="Q277" i="1" s="1"/>
  <c r="K278" i="1" s="1"/>
  <c r="L278" i="1" s="1"/>
  <c r="M278" i="1" s="1"/>
  <c r="N278" i="1" s="1"/>
  <c r="O278" i="1" s="1"/>
  <c r="I348" i="1"/>
  <c r="D345" i="1" s="1"/>
  <c r="G345" i="1" s="1"/>
  <c r="L323" i="1"/>
  <c r="M323" i="1" s="1"/>
  <c r="N323" i="1" s="1"/>
  <c r="O323" i="1" s="1"/>
  <c r="P323" i="1" s="1"/>
  <c r="G302" i="1"/>
  <c r="D304" i="1"/>
  <c r="G304" i="1" s="1"/>
  <c r="D256" i="1"/>
  <c r="D258" i="1" s="1"/>
  <c r="G258" i="1" s="1"/>
  <c r="G364" i="1" l="1"/>
  <c r="D371" i="1"/>
  <c r="G371" i="1" s="1"/>
  <c r="D352" i="1"/>
  <c r="G352" i="1" s="1"/>
  <c r="G322" i="1"/>
  <c r="G294" i="1"/>
  <c r="G282" i="1"/>
  <c r="G286" i="1"/>
  <c r="D293" i="1"/>
  <c r="G293" i="1" s="1"/>
  <c r="D348" i="1"/>
  <c r="G348" i="1" s="1"/>
  <c r="D329" i="1"/>
  <c r="G329" i="1" s="1"/>
  <c r="D338" i="1"/>
  <c r="G338" i="1" s="1"/>
  <c r="G331" i="1"/>
  <c r="G318" i="1"/>
  <c r="G356" i="1"/>
  <c r="G298" i="1"/>
  <c r="G360" i="1"/>
  <c r="D344" i="1"/>
  <c r="G344" i="1" s="1"/>
  <c r="G256" i="1"/>
  <c r="L234" i="1" l="1"/>
  <c r="K234" i="1"/>
  <c r="I234" i="1"/>
  <c r="J234" i="1" s="1"/>
  <c r="I233" i="1"/>
  <c r="J233" i="1" s="1"/>
  <c r="M232" i="1"/>
  <c r="I232" i="1"/>
  <c r="J232" i="1" s="1"/>
  <c r="G237" i="1"/>
  <c r="G236" i="1"/>
  <c r="G235" i="1"/>
  <c r="G234" i="1"/>
  <c r="G233" i="1"/>
  <c r="K232" i="1"/>
  <c r="L232" i="1" s="1"/>
  <c r="G232" i="1"/>
  <c r="N222" i="1"/>
  <c r="L222" i="1"/>
  <c r="J222" i="1"/>
  <c r="I222" i="1"/>
  <c r="G222" i="1"/>
  <c r="G221" i="1"/>
  <c r="K220" i="1"/>
  <c r="L220" i="1" s="1"/>
  <c r="I220" i="1"/>
  <c r="J220" i="1" s="1"/>
  <c r="G220" i="1"/>
  <c r="K219" i="1"/>
  <c r="L219" i="1" s="1"/>
  <c r="I219" i="1"/>
  <c r="J219" i="1" s="1"/>
  <c r="G219" i="1"/>
  <c r="N207" i="1"/>
  <c r="G213" i="1"/>
  <c r="G212" i="1"/>
  <c r="G211" i="1"/>
  <c r="G210" i="1"/>
  <c r="G209" i="1"/>
  <c r="J147" i="1"/>
  <c r="I147" i="1"/>
  <c r="K205" i="1"/>
  <c r="L205" i="1" s="1"/>
  <c r="I204" i="1"/>
  <c r="J204" i="1" s="1"/>
  <c r="K215" i="1"/>
  <c r="J215" i="1"/>
  <c r="I215" i="1"/>
  <c r="G215" i="1"/>
  <c r="G214" i="1"/>
  <c r="J196" i="1"/>
  <c r="L207" i="1"/>
  <c r="J207" i="1"/>
  <c r="I207" i="1"/>
  <c r="I205" i="1"/>
  <c r="J205" i="1" s="1"/>
  <c r="M196" i="1"/>
  <c r="K196" i="1"/>
  <c r="I196" i="1"/>
  <c r="G195" i="1"/>
  <c r="N232" i="1" l="1"/>
  <c r="M234" i="1"/>
  <c r="K207" i="1"/>
  <c r="M207" i="1" s="1"/>
  <c r="P207" i="1" s="1"/>
  <c r="L215" i="1"/>
  <c r="M219" i="1"/>
  <c r="K222" i="1"/>
  <c r="M222" i="1" s="1"/>
  <c r="P222" i="1" s="1"/>
  <c r="M205" i="1"/>
  <c r="M220" i="1"/>
  <c r="M204" i="1"/>
  <c r="L196" i="1"/>
  <c r="N196" i="1" s="1"/>
  <c r="G175" i="1"/>
  <c r="G174" i="1"/>
  <c r="G177" i="1"/>
  <c r="G176" i="1"/>
  <c r="G173" i="1"/>
  <c r="G172" i="1"/>
  <c r="I137" i="1"/>
  <c r="I155" i="1"/>
  <c r="K155" i="1"/>
  <c r="J155" i="1"/>
  <c r="M137" i="1"/>
  <c r="K137" i="1"/>
  <c r="J137" i="1"/>
  <c r="I145" i="1"/>
  <c r="J145" i="1" s="1"/>
  <c r="I144" i="1"/>
  <c r="J144" i="1" s="1"/>
  <c r="J152" i="1"/>
  <c r="G155" i="1"/>
  <c r="G154" i="1"/>
  <c r="G153" i="1"/>
  <c r="G152" i="1"/>
  <c r="G151" i="1"/>
  <c r="G150" i="1"/>
  <c r="G149" i="1"/>
  <c r="J140" i="1"/>
  <c r="I413" i="1"/>
  <c r="J413" i="1" s="1"/>
  <c r="P128" i="1"/>
  <c r="O128" i="1"/>
  <c r="N128" i="1"/>
  <c r="M128" i="1"/>
  <c r="L128" i="1"/>
  <c r="K128" i="1"/>
  <c r="J128" i="1"/>
  <c r="I128" i="1"/>
  <c r="G130" i="1"/>
  <c r="L137" i="1" l="1"/>
  <c r="N137" i="1" s="1"/>
  <c r="I199" i="1"/>
  <c r="J199" i="1" s="1"/>
  <c r="L155" i="1"/>
  <c r="K147" i="1"/>
  <c r="M147" i="1" s="1"/>
  <c r="M140" i="1"/>
  <c r="Q128" i="1"/>
  <c r="N147" i="1" l="1"/>
  <c r="P147" i="1" s="1"/>
  <c r="R128" i="1"/>
  <c r="G1222" i="1" l="1"/>
  <c r="C18" i="2" s="1"/>
  <c r="G861" i="1"/>
  <c r="G860" i="1"/>
  <c r="G839" i="1"/>
  <c r="G838" i="1"/>
  <c r="G831" i="1"/>
  <c r="G830" i="1"/>
  <c r="D829" i="1"/>
  <c r="G829" i="1" s="1"/>
  <c r="G828" i="1"/>
  <c r="D827" i="1"/>
  <c r="G827" i="1" s="1"/>
  <c r="D826" i="1"/>
  <c r="G826" i="1" s="1"/>
  <c r="D825" i="1"/>
  <c r="G825" i="1" s="1"/>
  <c r="G824" i="1"/>
  <c r="G823" i="1"/>
  <c r="G822" i="1"/>
  <c r="G820" i="1"/>
  <c r="G819" i="1"/>
  <c r="G815" i="1"/>
  <c r="G814" i="1"/>
  <c r="G813" i="1"/>
  <c r="G800" i="1"/>
  <c r="G799" i="1"/>
  <c r="G798" i="1"/>
  <c r="G796" i="1"/>
  <c r="I698" i="1"/>
  <c r="G550" i="1"/>
  <c r="G549" i="1"/>
  <c r="G548" i="1"/>
  <c r="G502" i="1"/>
  <c r="D447" i="1"/>
  <c r="D398" i="1" s="1"/>
  <c r="J618" i="1"/>
  <c r="J614" i="1"/>
  <c r="J617" i="1"/>
  <c r="G434" i="1"/>
  <c r="G420" i="1"/>
  <c r="L548" i="1" l="1"/>
  <c r="M495" i="1"/>
  <c r="L618" i="1"/>
  <c r="L389" i="1" l="1"/>
  <c r="D943" i="1" l="1"/>
  <c r="D941" i="1"/>
  <c r="D940" i="1"/>
  <c r="D939" i="1"/>
  <c r="G953" i="1"/>
  <c r="G919" i="1"/>
  <c r="G922" i="1"/>
  <c r="J742" i="1"/>
  <c r="I747" i="1"/>
  <c r="D708" i="1"/>
  <c r="J552" i="1"/>
  <c r="G552" i="1"/>
  <c r="J531" i="1"/>
  <c r="D500" i="1"/>
  <c r="I693" i="1" s="1"/>
  <c r="K531" i="1" l="1"/>
  <c r="J693" i="1"/>
  <c r="K693" i="1" s="1"/>
  <c r="L496" i="1"/>
  <c r="K552" i="1"/>
  <c r="M549" i="1"/>
  <c r="N549" i="1" s="1"/>
  <c r="D528" i="1"/>
  <c r="D529" i="1"/>
  <c r="D470" i="1"/>
  <c r="D468" i="1"/>
  <c r="J620" i="1"/>
  <c r="G620" i="1"/>
  <c r="J619" i="1"/>
  <c r="G619" i="1"/>
  <c r="G618" i="1"/>
  <c r="J633" i="1" l="1"/>
  <c r="L633" i="1" s="1"/>
  <c r="G199" i="1" l="1"/>
  <c r="G198" i="1"/>
  <c r="G396" i="1" l="1"/>
  <c r="G395" i="1"/>
  <c r="G393" i="1"/>
  <c r="K396" i="1" l="1"/>
  <c r="G610" i="1" l="1"/>
  <c r="G609" i="1"/>
  <c r="G634" i="1"/>
  <c r="G1052" i="1" l="1"/>
  <c r="G1051" i="1"/>
  <c r="G1050" i="1"/>
  <c r="G1049" i="1"/>
  <c r="G1048" i="1"/>
  <c r="G1047" i="1"/>
  <c r="G1046" i="1"/>
  <c r="G1043" i="1"/>
  <c r="G1042" i="1"/>
  <c r="G1041" i="1"/>
  <c r="G1040" i="1"/>
  <c r="G1039" i="1"/>
  <c r="G1038" i="1"/>
  <c r="G1037" i="1"/>
  <c r="G1036" i="1"/>
  <c r="G1035" i="1"/>
  <c r="G1085" i="1" l="1"/>
  <c r="I263" i="1"/>
  <c r="G399" i="1"/>
  <c r="I721" i="1"/>
  <c r="G721" i="1"/>
  <c r="G952" i="1"/>
  <c r="G951" i="1"/>
  <c r="G950" i="1"/>
  <c r="G949" i="1"/>
  <c r="D942" i="1"/>
  <c r="G942" i="1" s="1"/>
  <c r="G943" i="1"/>
  <c r="G934" i="1"/>
  <c r="G933" i="1"/>
  <c r="G932" i="1"/>
  <c r="G916" i="1"/>
  <c r="D745" i="1" l="1"/>
  <c r="G745" i="1" s="1"/>
  <c r="G748" i="1"/>
  <c r="G747" i="1"/>
  <c r="G746" i="1"/>
  <c r="D744" i="1"/>
  <c r="G744" i="1" s="1"/>
  <c r="G743" i="1"/>
  <c r="G742" i="1"/>
  <c r="G741" i="1"/>
  <c r="G740" i="1"/>
  <c r="G739" i="1"/>
  <c r="G708" i="1"/>
  <c r="J698" i="1"/>
  <c r="G698" i="1"/>
  <c r="G733" i="1"/>
  <c r="G667" i="1"/>
  <c r="G669" i="1"/>
  <c r="J541" i="1"/>
  <c r="I541" i="1"/>
  <c r="G529" i="1"/>
  <c r="I500" i="1"/>
  <c r="G501" i="1"/>
  <c r="G500" i="1"/>
  <c r="G497" i="1"/>
  <c r="G398" i="1"/>
  <c r="G433" i="1"/>
  <c r="G432" i="1"/>
  <c r="G431" i="1"/>
  <c r="G430" i="1"/>
  <c r="G429" i="1"/>
  <c r="G417" i="1"/>
  <c r="G419" i="1"/>
  <c r="G391" i="1"/>
  <c r="G390" i="1"/>
  <c r="G354" i="1"/>
  <c r="G387" i="1"/>
  <c r="G388" i="1"/>
  <c r="G389" i="1"/>
  <c r="G397" i="1"/>
  <c r="G400" i="1"/>
  <c r="I275" i="1"/>
  <c r="I274" i="1"/>
  <c r="I270" i="1"/>
  <c r="I269" i="1"/>
  <c r="G275" i="1"/>
  <c r="G274" i="1"/>
  <c r="K541" i="1" l="1"/>
  <c r="I278" i="1"/>
  <c r="G278" i="1"/>
  <c r="I271" i="1"/>
  <c r="D268" i="1" s="1"/>
  <c r="D271" i="1" s="1"/>
  <c r="G271" i="1" s="1"/>
  <c r="G270" i="1"/>
  <c r="G269" i="1"/>
  <c r="G266" i="1"/>
  <c r="G207" i="1"/>
  <c r="G206" i="1"/>
  <c r="G205" i="1"/>
  <c r="G204" i="1"/>
  <c r="G197" i="1"/>
  <c r="G196" i="1"/>
  <c r="G147" i="1"/>
  <c r="G146" i="1"/>
  <c r="G145" i="1"/>
  <c r="G144" i="1"/>
  <c r="G140" i="1"/>
  <c r="G139" i="1"/>
  <c r="I280" i="1" l="1"/>
  <c r="D277" i="1" s="1"/>
  <c r="I276" i="1"/>
  <c r="D273" i="1" s="1"/>
  <c r="D276" i="1" s="1"/>
  <c r="G268" i="1"/>
  <c r="D280" i="1" l="1"/>
  <c r="G280" i="1" s="1"/>
  <c r="G277" i="1"/>
  <c r="G273" i="1"/>
  <c r="G276" i="1"/>
  <c r="G926" i="1" l="1"/>
  <c r="G927" i="1"/>
  <c r="D707" i="1"/>
  <c r="G707" i="1" s="1"/>
  <c r="D706" i="1"/>
  <c r="G706" i="1" s="1"/>
  <c r="G470" i="1"/>
  <c r="G469" i="1"/>
  <c r="G468" i="1"/>
  <c r="G458" i="1"/>
  <c r="G457" i="1"/>
  <c r="G456" i="1"/>
  <c r="D524" i="1"/>
  <c r="I438" i="1"/>
  <c r="J438" i="1" s="1"/>
  <c r="L438" i="1" s="1"/>
  <c r="G438" i="1"/>
  <c r="G437" i="1"/>
  <c r="G467" i="1"/>
  <c r="L500" i="1" l="1"/>
  <c r="D75" i="1" l="1"/>
  <c r="D78" i="1" s="1"/>
  <c r="G583" i="1" l="1"/>
  <c r="G582" i="1"/>
  <c r="F19" i="2" l="1"/>
  <c r="G948" i="1"/>
  <c r="G720" i="1"/>
  <c r="G496" i="1"/>
  <c r="G495" i="1"/>
  <c r="G494" i="1"/>
  <c r="G528" i="1"/>
  <c r="G526" i="1"/>
  <c r="D938" i="1"/>
  <c r="D928" i="1"/>
  <c r="I582" i="1"/>
  <c r="J582" i="1" s="1"/>
  <c r="K582" i="1" s="1"/>
  <c r="G541" i="1"/>
  <c r="G539" i="1"/>
  <c r="G524" i="1"/>
  <c r="G786" i="1" l="1"/>
  <c r="J586" i="1"/>
  <c r="K586" i="1" s="1"/>
  <c r="L586" i="1" s="1"/>
  <c r="M586" i="1" s="1"/>
  <c r="G543" i="1"/>
  <c r="M187" i="1" l="1"/>
  <c r="G35" i="1" l="1"/>
  <c r="G947" i="1" l="1"/>
  <c r="G941" i="1"/>
  <c r="G929" i="1" l="1"/>
  <c r="G447" i="1" l="1"/>
  <c r="G452" i="1" l="1"/>
  <c r="G451" i="1"/>
  <c r="G450" i="1"/>
  <c r="G449" i="1"/>
  <c r="G455" i="1"/>
  <c r="M531" i="1" l="1"/>
  <c r="G601" i="1" l="1"/>
  <c r="G652" i="1" l="1"/>
  <c r="G136" i="1" l="1"/>
  <c r="G921" i="1" l="1"/>
  <c r="G931" i="1"/>
  <c r="G925" i="1"/>
  <c r="G920" i="1"/>
  <c r="G923" i="1"/>
  <c r="G586" i="1" l="1"/>
  <c r="I538" i="1"/>
  <c r="G531" i="1"/>
  <c r="G681" i="1" l="1"/>
  <c r="I260" i="1" l="1"/>
  <c r="I261" i="1" s="1"/>
  <c r="G263" i="1"/>
  <c r="I264" i="1" l="1"/>
  <c r="G935" i="1" l="1"/>
  <c r="G938" i="1"/>
  <c r="G939" i="1"/>
  <c r="G940" i="1"/>
  <c r="G913" i="1"/>
  <c r="G912" i="1"/>
  <c r="G914" i="1"/>
  <c r="G915" i="1"/>
  <c r="G917" i="1"/>
  <c r="G918" i="1"/>
  <c r="G928" i="1"/>
  <c r="G930" i="1"/>
  <c r="G260" i="1"/>
  <c r="D262" i="1"/>
  <c r="G936" i="1" l="1"/>
  <c r="G937" i="1"/>
  <c r="D259" i="1"/>
  <c r="D264" i="1"/>
  <c r="G264" i="1" s="1"/>
  <c r="G262" i="1"/>
  <c r="G1023" i="1" l="1"/>
  <c r="C15" i="2" s="1"/>
  <c r="D261" i="1"/>
  <c r="G261" i="1" s="1"/>
  <c r="G259" i="1"/>
  <c r="G23" i="1" l="1"/>
  <c r="G900" i="1" l="1"/>
  <c r="C13" i="2"/>
  <c r="G693" i="1" l="1"/>
  <c r="G499" i="1" l="1"/>
  <c r="G493" i="1"/>
  <c r="G589" i="1" l="1"/>
  <c r="G418" i="1"/>
  <c r="G415" i="1"/>
  <c r="G254" i="1" l="1"/>
  <c r="G138" i="1"/>
  <c r="G137" i="1"/>
  <c r="G78" i="1"/>
  <c r="G77" i="1"/>
  <c r="G76" i="1"/>
  <c r="G75" i="1"/>
  <c r="G74" i="1"/>
  <c r="G70" i="1"/>
  <c r="G24" i="1"/>
  <c r="G25" i="1"/>
  <c r="G26" i="1"/>
  <c r="G27" i="1"/>
  <c r="G697" i="1" l="1"/>
  <c r="G696" i="1"/>
  <c r="G692" i="1"/>
  <c r="G691" i="1"/>
  <c r="G22" i="1"/>
  <c r="G711" i="1" l="1"/>
  <c r="G34" i="1" l="1"/>
  <c r="G33" i="1"/>
  <c r="G28" i="1"/>
  <c r="G63" i="1" l="1"/>
  <c r="C5" i="2" s="1"/>
  <c r="C14" i="2"/>
  <c r="C10" i="2"/>
  <c r="G416" i="1" l="1"/>
  <c r="G413" i="1" l="1"/>
  <c r="G485" i="1" s="1"/>
  <c r="C11" i="2" l="1"/>
  <c r="G911" i="1" l="1"/>
  <c r="G1156" i="1" s="1"/>
  <c r="G122" i="1" l="1"/>
  <c r="C6" i="2" l="1"/>
  <c r="C12" i="2" l="1"/>
  <c r="G402" i="1" l="1"/>
  <c r="C9" i="2"/>
  <c r="C8" i="2" l="1"/>
  <c r="C7" i="2" l="1"/>
  <c r="C21" i="2" s="1"/>
  <c r="C22" i="2" l="1"/>
  <c r="C23" i="2" s="1"/>
  <c r="F17" i="2"/>
  <c r="F21" i="2" l="1"/>
  <c r="F20" i="2"/>
</calcChain>
</file>

<file path=xl/sharedStrings.xml><?xml version="1.0" encoding="utf-8"?>
<sst xmlns="http://schemas.openxmlformats.org/spreadsheetml/2006/main" count="1559" uniqueCount="488">
  <si>
    <t>Item</t>
  </si>
  <si>
    <t>Description</t>
  </si>
  <si>
    <t>Unit</t>
  </si>
  <si>
    <t>Qty</t>
  </si>
  <si>
    <t>Material
Rate</t>
  </si>
  <si>
    <t>Labour
Rate</t>
  </si>
  <si>
    <t>Total</t>
  </si>
  <si>
    <t>(1)</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</si>
  <si>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</si>
  <si>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</si>
  <si>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</si>
  <si>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</si>
  <si>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</si>
  <si>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</si>
  <si>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</si>
  <si>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</si>
  <si>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</si>
  <si>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</si>
  <si>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</si>
  <si>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</si>
  <si>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</si>
  <si>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</si>
  <si>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</si>
  <si>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</si>
  <si>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</si>
  <si>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</si>
  <si>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</si>
  <si>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</si>
  <si>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</si>
  <si>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</si>
  <si>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</si>
  <si>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</si>
  <si>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</si>
  <si>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</si>
  <si>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</si>
  <si>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Allow for clean-up of completed works and site upon completion.</t>
  </si>
  <si>
    <t>BILL No: 01 PRELIMINARIES</t>
  </si>
  <si>
    <t>TOTAL OF BILL No: 01 - Carried over to summary</t>
  </si>
  <si>
    <t>BILL NO : 02</t>
  </si>
  <si>
    <t>GROUND WORK</t>
  </si>
  <si>
    <t>General</t>
  </si>
  <si>
    <t>m²</t>
  </si>
  <si>
    <t>2.4</t>
  </si>
  <si>
    <t>Back filling</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</si>
  <si>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</si>
  <si>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</si>
  <si>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</si>
  <si>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</si>
  <si>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</si>
  <si>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</si>
  <si>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</si>
  <si>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</si>
  <si>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</si>
  <si>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LEAN CONCRETE</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</si>
  <si>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</si>
  <si>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</si>
  <si>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</si>
  <si>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</si>
  <si>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</si>
  <si>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</si>
  <si>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</si>
  <si>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</si>
  <si>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</si>
  <si>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</si>
  <si>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</si>
  <si>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</si>
  <si>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</si>
  <si>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</si>
  <si>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</si>
  <si>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</si>
  <si>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</si>
  <si>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</si>
  <si>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</si>
  <si>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</si>
  <si>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</si>
  <si>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</si>
  <si>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</si>
  <si>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</si>
  <si>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</si>
  <si>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</si>
  <si>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</si>
  <si>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</si>
  <si>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</si>
  <si>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</si>
  <si>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</si>
  <si>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</si>
  <si>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</si>
  <si>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</si>
  <si>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</si>
  <si>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</si>
  <si>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</si>
  <si>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</si>
  <si>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</si>
  <si>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</si>
  <si>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</si>
  <si>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</si>
  <si>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</si>
  <si>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</si>
  <si>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</si>
  <si>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</si>
  <si>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</si>
  <si>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</si>
  <si>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</si>
  <si>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</si>
  <si>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</si>
  <si>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</si>
  <si>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</si>
  <si>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</si>
  <si>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</si>
  <si>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</si>
  <si>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Painting exterior surfaces of External Wall, Columns &amp; beams.</t>
  </si>
  <si>
    <t xml:space="preserve">Painting interior surfaces Wall, Columns &amp; beams) </t>
  </si>
  <si>
    <t>Painting Soffit of slab (Ceiling)</t>
  </si>
  <si>
    <t>TOTAL OF BILL No: 09 - Carried over to summary</t>
  </si>
  <si>
    <t>BILL No: 10</t>
  </si>
  <si>
    <t>10.1</t>
  </si>
  <si>
    <t>RAILING</t>
  </si>
  <si>
    <t>m</t>
  </si>
  <si>
    <t>TOTAL OF BILL No: 10 - Carried over to summary</t>
  </si>
  <si>
    <t>BILL No: 11</t>
  </si>
  <si>
    <t>HYDRAULICS &amp; DRAINAGE</t>
  </si>
  <si>
    <t>11.1</t>
  </si>
  <si>
    <t>HYDRAULICS</t>
  </si>
  <si>
    <t>SANITARY FIXTURES &amp;ACCESSORIES</t>
  </si>
  <si>
    <t>WC with basin</t>
  </si>
  <si>
    <t>Wash basin tap</t>
  </si>
  <si>
    <t xml:space="preserve">Toilet paper holder </t>
  </si>
  <si>
    <t xml:space="preserve">Mirror set </t>
  </si>
  <si>
    <t xml:space="preserve">Muslim Shower </t>
  </si>
  <si>
    <t>TOTAL OF BILL No: 11 - Carried over to summary</t>
  </si>
  <si>
    <t>(a) Exposed surface shall have fair finish while remaining may have rough finish.</t>
  </si>
  <si>
    <t>t</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</si>
  <si>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</si>
  <si>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</si>
  <si>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</si>
  <si>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</si>
  <si>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</si>
  <si>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</si>
  <si>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</si>
  <si>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</si>
  <si>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</si>
  <si>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</si>
  <si>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</si>
  <si>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</si>
  <si>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</si>
  <si>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</si>
  <si>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</si>
  <si>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</si>
  <si>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</si>
  <si>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</si>
  <si>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</si>
  <si>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</si>
  <si>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</si>
  <si>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</si>
  <si>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</si>
  <si>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</si>
  <si>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 xml:space="preserve">(b)Rates shall include for External plastering shall 20mm thick (12+8mm)  2 coats in 1:4 cement and river sand mix ratio </t>
  </si>
  <si>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</si>
  <si>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</si>
  <si>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</si>
  <si>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</si>
  <si>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1.4</t>
  </si>
  <si>
    <t>SAFETY</t>
  </si>
  <si>
    <t>WOOD WORK &amp;  CEILING</t>
  </si>
  <si>
    <t>1 )</t>
  </si>
  <si>
    <t>2 )</t>
  </si>
  <si>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</si>
  <si>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t>5.4</t>
  </si>
  <si>
    <t>5.5</t>
  </si>
  <si>
    <t>6.1</t>
  </si>
  <si>
    <t>7.2</t>
  </si>
  <si>
    <t>9.2</t>
  </si>
  <si>
    <t>COLUMNS</t>
  </si>
  <si>
    <t>TOTAL OF BILL No: 03 - Carried over to summary</t>
  </si>
  <si>
    <t>1.5</t>
  </si>
  <si>
    <t xml:space="preserve">                                                                                                                                                                                                                </t>
  </si>
  <si>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</si>
  <si>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3 )</t>
  </si>
  <si>
    <t>4 )</t>
  </si>
  <si>
    <t>5 )</t>
  </si>
  <si>
    <t>6 )</t>
  </si>
  <si>
    <t>7 )</t>
  </si>
  <si>
    <t>8 )</t>
  </si>
  <si>
    <t>9 )</t>
  </si>
  <si>
    <t>BILL No: 11 - ELECTRICAL INSTALLATIONS</t>
  </si>
  <si>
    <t>10 )</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</si>
  <si>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</si>
  <si>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</si>
  <si>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</si>
  <si>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</si>
  <si>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</si>
  <si>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</si>
  <si>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</si>
  <si>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</si>
  <si>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</si>
  <si>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</si>
  <si>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</si>
  <si>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</si>
  <si>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</si>
  <si>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200mm thick Solid block wall</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</si>
  <si>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</si>
  <si>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</si>
  <si>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</si>
  <si>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</si>
  <si>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</si>
  <si>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</si>
  <si>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</si>
  <si>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</si>
  <si>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</si>
  <si>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Toilets</t>
  </si>
  <si>
    <r>
      <t xml:space="preserve">Apply 2 coats of Water proofing Compound, </t>
    </r>
    <r>
      <rPr>
        <b/>
        <sz val="9"/>
        <rFont val="Times New Roman"/>
        <family val="1"/>
      </rPr>
      <t xml:space="preserve">Moya Proof HF, </t>
    </r>
    <r>
      <rPr>
        <sz val="9"/>
        <rFont val="Times New Roman"/>
        <family val="1"/>
      </rPr>
      <t xml:space="preserve">on wet surfaces - Toilets, Balcony and Terrace Floors. </t>
    </r>
  </si>
  <si>
    <t>Charges for Piping for  fresh water Pipe work</t>
  </si>
  <si>
    <t>Charges for Piping for Ground water supply pipe work.</t>
  </si>
  <si>
    <t>Wash basin with trap including counter slab</t>
  </si>
  <si>
    <t>Water taps</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</si>
  <si>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</si>
  <si>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</si>
  <si>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</si>
  <si>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</si>
  <si>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</si>
  <si>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</si>
  <si>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</si>
  <si>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</si>
  <si>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</si>
  <si>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</si>
  <si>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</si>
  <si>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</si>
  <si>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</si>
  <si>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</si>
  <si>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(a) Rates shall include for: placing in position; making good after removal of formwork and casting in all required items; additional concrete required to conform to structural and excavated tolerances.</t>
  </si>
  <si>
    <t>16mm dia deformed bars - 6m</t>
  </si>
  <si>
    <t>12mm dia deformed bars - 6m</t>
  </si>
  <si>
    <t>10mm dia deformed bars - 6m</t>
  </si>
  <si>
    <t>6mm dia MS Round bars - 6m</t>
  </si>
  <si>
    <t>FLOOR TILING</t>
  </si>
  <si>
    <t>WALL TILING</t>
  </si>
  <si>
    <t xml:space="preserve">SKIRTING </t>
  </si>
  <si>
    <t>(a) Rates shall include for: Fixing, bedding, grouting, and pointing materials, making good around pipes, sanitary fixtures, and similar; cleaning &amp; Polishing.</t>
  </si>
  <si>
    <r>
      <t xml:space="preserve">(c) Tiles for bed rooms, offices, Kitchen, Living, Dining, corridors, all general areas shall be </t>
    </r>
    <r>
      <rPr>
        <b/>
        <sz val="9"/>
        <rFont val="Times New Roman"/>
        <family val="1"/>
      </rPr>
      <t>600 x 600mm Polished Porcelain/Homogeneous tiles.</t>
    </r>
  </si>
  <si>
    <t>(b) All Tiling work in accordance with specifications and finishes schedule.</t>
  </si>
  <si>
    <t>A )</t>
  </si>
  <si>
    <t>B )</t>
  </si>
  <si>
    <t>C )</t>
  </si>
  <si>
    <t>(c) Rates shall include for 9mm thick Cement board fixed on 35 x 50mm Timber frame,trimming, nails, screws,hooks, hangers,  clips and similar.</t>
  </si>
  <si>
    <t xml:space="preserve">Supply and Installation of  STELCO approved brand Distribution board </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</si>
  <si>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</si>
  <si>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</si>
  <si>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</si>
  <si>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</si>
  <si>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Charges for supplying special tiles grout Conmix C800 / Conmix C500 for fixing tiles to all floors.</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</si>
  <si>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</si>
  <si>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</si>
  <si>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</si>
  <si>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</si>
  <si>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</si>
  <si>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</si>
  <si>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</si>
  <si>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600 x 600mm Polished Porcelain tiles</t>
  </si>
  <si>
    <t>Homogeneous/Porcelain Step Tiles</t>
  </si>
  <si>
    <t>300 x 300mm Non slip Ceramic Tiles</t>
  </si>
  <si>
    <t>600 x 600mm Non slip Porcelain tiles</t>
  </si>
  <si>
    <t>Skirting - 600 x 100mm Porcelain Tiles</t>
  </si>
  <si>
    <t>(a) Rates shall include for: all labour in framing, notching and fitting around projections, pipes, light fittings, hatches, grilles and similar and complete with cleats, packers, wedges and similar and all nails,bolts &amp; screws.</t>
  </si>
  <si>
    <t>Stop valves</t>
  </si>
  <si>
    <t>WATER PROOFING &amp; ADD MIXTURES</t>
  </si>
  <si>
    <t>S.S. Railing  - Staircase</t>
  </si>
  <si>
    <t>Stair case</t>
  </si>
  <si>
    <t>300 x 600mm Polished Ceramic Wall Tiles 2.7m height.   (Rate shall include for 300 x 100mm Design border tiles @ 1200mm high on toilet walls)</t>
  </si>
  <si>
    <t>Ceiling Fan, dia. 1200</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</si>
  <si>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</si>
  <si>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</si>
  <si>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</si>
  <si>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</si>
  <si>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</si>
  <si>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</si>
  <si>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</si>
  <si>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</si>
  <si>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</si>
  <si>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</si>
  <si>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t>600 x 600mm Non Slip Porcelain tiles</t>
  </si>
  <si>
    <t>Wall mount weather proof light - L17</t>
  </si>
  <si>
    <t>ROOF BEAMS</t>
  </si>
  <si>
    <t>(c ) Rates shall include for; distribution steel, cleaning,  fabrication, placing, the provision for all necessary temporary fixings, and supports including chairs and tie wire , laps and wastage.</t>
  </si>
  <si>
    <t>250mm thick highly compacted hard core from Ground floor to below ground floor slab</t>
  </si>
  <si>
    <t>50mm thick Cement/sand blinding layer (1:10 - Cement &amp; Local Sand mix) to receive damp proof membrane below ground floor slab</t>
  </si>
  <si>
    <t>R.c.c. Staircase</t>
  </si>
  <si>
    <t>SLAB BEAMS</t>
  </si>
  <si>
    <t>FLOOR SLAB</t>
  </si>
  <si>
    <t>150mm thick R.c.c. Floor Slab</t>
  </si>
  <si>
    <t>SLAB BEAM</t>
  </si>
  <si>
    <t>WINDOW SILL &amp; LINTELS</t>
  </si>
  <si>
    <t>PARAPET WALL</t>
  </si>
  <si>
    <t>300x150x150mm solid block wall</t>
  </si>
  <si>
    <t>Interior walls</t>
  </si>
  <si>
    <t>External walls</t>
  </si>
  <si>
    <t>300x150x150mm Solid block wall - 150mm thick</t>
  </si>
  <si>
    <t>300x150x150mm Solid block wall between 
SILL and LINTEL at rear side.</t>
  </si>
  <si>
    <t>ABOVE ROOF BEAM</t>
  </si>
  <si>
    <t>External walls 150mm thick</t>
  </si>
  <si>
    <t xml:space="preserve">Internal surface of external wall </t>
  </si>
  <si>
    <t>Class rooms</t>
  </si>
  <si>
    <t>Corridor</t>
  </si>
  <si>
    <t>Staircase</t>
  </si>
  <si>
    <t>Entrance Steps</t>
  </si>
  <si>
    <t>Toilet walls @ 3M height</t>
  </si>
  <si>
    <t>(d) Toilet wall tiles shall be 300 x 600 mm size ceramic Polished tiles including designed border tiles and Toilet Floor Tiles shall  be 300 x 300mm Non- Slip ceramicTiles.</t>
  </si>
  <si>
    <t>SUSPENDED ACOUSTIC CEILING SYSTEM ON ALUMINIUM FRAME</t>
  </si>
  <si>
    <t>9MM THICK CEMENT BOARD CEILING ON 50 X 35MM THICK TIMBER FRAME</t>
  </si>
  <si>
    <t>Roof level - Eave Ceiling</t>
  </si>
  <si>
    <t>S.S. Railing  - BALCONY</t>
  </si>
  <si>
    <t>Eave Ceiling</t>
  </si>
  <si>
    <t>TR1 - 6.5mtr length</t>
  </si>
  <si>
    <t>ROOFING</t>
  </si>
  <si>
    <t>Mtr</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</si>
  <si>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</si>
  <si>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</si>
  <si>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</si>
  <si>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</si>
  <si>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</si>
  <si>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</si>
  <si>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</si>
  <si>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</si>
  <si>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Supply and Fixing C - Purlins 100 10 (GI) @ 900mm spacing</t>
  </si>
  <si>
    <t>Capping -  Supply and Fixing 600mm wide Lysaght Ridge Capping</t>
  </si>
  <si>
    <t>mtr</t>
  </si>
  <si>
    <t>Capping -  Supply and Fixing 600mm wide Lysaght Flashing at Gable ends</t>
  </si>
  <si>
    <t>Gutter - Supply and Fixing 150 x 200mm Lysaght Gutter complete including brackets and clips.</t>
  </si>
  <si>
    <t>7.3</t>
  </si>
  <si>
    <t>WOOD WORK</t>
  </si>
  <si>
    <t>Timber Fascia Board: Supply and Fixing  25 x 250mm wide Timber Fascia board complete including Paint finishes.</t>
  </si>
  <si>
    <t>Connection Pipes: Supply and Fixing 60.3 x 2.5mm thick CHS (G.I) to be welded at the bottom of the Trusses as connection member.</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</si>
  <si>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</si>
  <si>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Ceiling Light - L 07</t>
  </si>
  <si>
    <t>Ceiling Light - L10</t>
  </si>
  <si>
    <t>1 x 13A Power Socket - P01</t>
  </si>
  <si>
    <t>1 x 15A Power Socket - P15 &amp; P16</t>
  </si>
  <si>
    <t>2 Gang 1 way Switch - P20</t>
  </si>
  <si>
    <t>3 Gang 1 way Switch - P21</t>
  </si>
  <si>
    <t>4 Gang 1 way Switch - P22</t>
  </si>
  <si>
    <t>Fan Dimmer Switch - P23</t>
  </si>
  <si>
    <t>Telephone Socket outlet - T01</t>
  </si>
  <si>
    <t>Computer Network Socket outlet - T02</t>
  </si>
  <si>
    <t>TV  Socket outlet - T10</t>
  </si>
  <si>
    <t>VGA Sockets - VGA 01 &amp; VGA 02</t>
  </si>
  <si>
    <t xml:space="preserve">Supply, Fabrication and Installation of  40mm dia. S.S.Pipe Fixed at both Sides of the Staircase as per details </t>
  </si>
  <si>
    <t xml:space="preserve"> TOTAL           Mrf</t>
  </si>
  <si>
    <t>6% GST           Mrf</t>
  </si>
  <si>
    <t>GRAND TOTAL          Mrf</t>
  </si>
  <si>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</si>
  <si>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</si>
  <si>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</si>
  <si>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</si>
  <si>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</si>
  <si>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</si>
  <si>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</si>
  <si>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</si>
  <si>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</si>
  <si>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</si>
  <si>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CONVENTIONAL FIRE ALARM PANEL</t>
  </si>
  <si>
    <t>JUNCTION BOX</t>
  </si>
  <si>
    <t>EXIT SIGN LIGHT - L12</t>
  </si>
  <si>
    <t>RESETABLE BREAK GLASS MANUAL CALL POINT - F02</t>
  </si>
  <si>
    <t>FIRE ALARM BELL - F05</t>
  </si>
  <si>
    <t>SMOKE DETECTOR - F03</t>
  </si>
  <si>
    <t>PORTABLE EXTINGUISHER (H2O)</t>
  </si>
  <si>
    <t>PORTABLE EXTINGUISHER (CO2)</t>
  </si>
  <si>
    <t>BILL No: 12 - FIRE FIGHTING SYSTEM</t>
  </si>
  <si>
    <t>TOTAL OF BILL No: 12 - Carried over to summary</t>
  </si>
  <si>
    <t>Sound system - Speaker - T11</t>
  </si>
  <si>
    <t>Multimedia Projector with Stand - MP01</t>
  </si>
  <si>
    <t>SHADING DEVICE</t>
  </si>
  <si>
    <t>WINDOW UNITS</t>
  </si>
  <si>
    <t>DOOR UNITS</t>
  </si>
  <si>
    <t>TYPE 01 - Coated Aluminium frame with Louvered aluminium panels, 3000 x 650mm</t>
  </si>
  <si>
    <t>GROUND WATER WELL</t>
  </si>
  <si>
    <t>Charges for Construction and  Installation of 1200mm dia. R.c.c. Ground water well, Base slab &amp; Top cover slab as per drawing details. Rate shall include for; Excavation, form work, reinforcement, Lifting hooks, gravel filling etc complete.</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</si>
  <si>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</si>
  <si>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</si>
  <si>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</si>
  <si>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</si>
  <si>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</si>
  <si>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</si>
  <si>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</si>
  <si>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</si>
  <si>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</si>
  <si>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</si>
  <si>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</si>
  <si>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</si>
  <si>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</si>
  <si>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</si>
  <si>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100mm thick R.C. slab including Entrance Steps</t>
  </si>
  <si>
    <t>Charges for construction of 100mm thick R.c.c.Parapet wall at First floor and Second floor as per details. (Refer drawing no:A 14) Rate shall include for Shuttering and Reinforcement work complete.</t>
  </si>
  <si>
    <t>D3 - Solid Timber framed door with Soild Timber door panel, 780 x 2000mm.</t>
  </si>
  <si>
    <t>W1 - Coated Aluminium framed Window with Openable glass panels and Fixed aluminium louvered panels &amp; glass panels at top, 2450 x 1690mm</t>
  </si>
  <si>
    <t>TYPE 01 - Coated Aluminium frame with Louvered aluminium panels, 3000 x 650mm (Refer Elevation)</t>
  </si>
  <si>
    <t>TYPE 02 - Coated Aluminium frame with Louvered aluminium panels, 1800 x 650mm (Refer Elevation)</t>
  </si>
  <si>
    <t>1 x 13A Power Socket (WP) - P17</t>
  </si>
  <si>
    <t>Mechanical Ventilator</t>
  </si>
  <si>
    <t>Exhaust Fan (Mechanical Ventilator)</t>
  </si>
  <si>
    <t>Cabling - Multi media Projectors VGA 01 to VGA 02</t>
  </si>
  <si>
    <t>Cabling - Data Network points (Cat 06)</t>
  </si>
  <si>
    <t>Cabling - Telephone  points</t>
  </si>
  <si>
    <t>Cabling - TV points</t>
  </si>
  <si>
    <t>Cabling - Speaker System</t>
  </si>
  <si>
    <t xml:space="preserve">S.S.Floor drain with trap </t>
  </si>
  <si>
    <t>Provision to remove the excess quantity given in the bill quantities if any as per the drawing details</t>
  </si>
  <si>
    <t>Wash room walls @ 1.8m H</t>
  </si>
  <si>
    <t>Vanity Counter</t>
  </si>
  <si>
    <t xml:space="preserve">Toilets </t>
  </si>
  <si>
    <t>Angle valves</t>
  </si>
  <si>
    <t>BILL OF QUANTITIES</t>
  </si>
  <si>
    <t>75mm thick lean concrete</t>
  </si>
  <si>
    <t>Below Entrance steps.</t>
  </si>
  <si>
    <t>B1 , 200 x 500mm</t>
  </si>
  <si>
    <t>B2 , 200 x 400mm</t>
  </si>
  <si>
    <t>SECOND FLOOR</t>
  </si>
  <si>
    <t>4.4</t>
  </si>
  <si>
    <t>B1, 200 x 500mm</t>
  </si>
  <si>
    <t>B2, 200 x 400mm</t>
  </si>
  <si>
    <t>B3, 200 x 400mm</t>
  </si>
  <si>
    <t>130mm, 150mm &amp; 170mm thick R.c.c. Floor Slab</t>
  </si>
  <si>
    <t>ROOF SLAB</t>
  </si>
  <si>
    <t>1.1</t>
  </si>
  <si>
    <t>1.2</t>
  </si>
  <si>
    <t>(b) Mix ratio for  reinforced concrete shall be 1:2:3 and lean concrete shall be 1:2:6 by volume.</t>
  </si>
  <si>
    <t>(c) Quantity is measured to the edges of concrete foundation members. Rates shall be inclusive for any additional concrete required to place the formwork.</t>
  </si>
  <si>
    <t>C1 , 200 x 300mm x 08nos:</t>
  </si>
  <si>
    <t>C2, 400 x 200mm x 02nos</t>
  </si>
  <si>
    <t>C4, 325mm dia. x 06nos</t>
  </si>
  <si>
    <t>SC, 150 x 150 x 09nos:</t>
  </si>
  <si>
    <t>C3, 500 x 225mm x 04nos</t>
  </si>
  <si>
    <t>10mm dia MS Round bars - 6m @ 200mm c/c</t>
  </si>
  <si>
    <t>B4, 225 x 550mm</t>
  </si>
  <si>
    <r>
      <t>300x150x200mm solid block</t>
    </r>
    <r>
      <rPr>
        <sz val="9"/>
        <color theme="1"/>
        <rFont val="Times New Roman"/>
        <family val="1"/>
      </rPr>
      <t xml:space="preserve"> wall - 200mm thick</t>
    </r>
  </si>
  <si>
    <t>300x150x200mm solid block wall - 200mm thick above all foundation beams.</t>
  </si>
  <si>
    <t>(c) All Timber door frames shall be treated timber. Rate shall include for Paint/Varnish finish.</t>
  </si>
  <si>
    <r>
      <t xml:space="preserve">D1 - Solid Timber framed door with Soild Timber door panel, 950 x 2785mm. </t>
    </r>
    <r>
      <rPr>
        <b/>
        <sz val="9"/>
        <rFont val="Times New Roman"/>
        <family val="1"/>
      </rPr>
      <t>All glazed fix panels shall be double glazed panels.</t>
    </r>
  </si>
  <si>
    <t>D2 - Solid Timber framed door with Soild Timber door panel, 850 x 2000mm.</t>
  </si>
  <si>
    <r>
      <t xml:space="preserve">W2 - Coated Aluminium framed Window with Openable glass panels and Fixed </t>
    </r>
    <r>
      <rPr>
        <b/>
        <sz val="9"/>
        <rFont val="Times New Roman"/>
        <family val="1"/>
      </rPr>
      <t xml:space="preserve">double glazed </t>
    </r>
    <r>
      <rPr>
        <sz val="9"/>
        <rFont val="Times New Roman"/>
        <family val="1"/>
      </rPr>
      <t>panels at top , 1575 x 1785mm</t>
    </r>
  </si>
  <si>
    <t>External surface of exeterior wall &amp; Concrete surfaces</t>
  </si>
  <si>
    <t xml:space="preserve">Supply, Fabrication and Fixing S.S.Railing - Fixed at Center of the Staircase between two flights as per details </t>
  </si>
  <si>
    <t>(a) Rates shall include for: the provision, erection and removal of scaffolding, preparation, rubbing down between coats and similar work, the protection and/or masking floors, fittings and similar work, removing and replacing door and window furniture.</t>
  </si>
  <si>
    <t>(b) All painting work shall be carried in accordance with the Specifications</t>
  </si>
  <si>
    <t>Toilet &amp; Wash</t>
  </si>
  <si>
    <t>Stair Lobby area</t>
  </si>
  <si>
    <t>Corridor &amp; Stair Lobby area</t>
  </si>
  <si>
    <t>Roof Slabs</t>
  </si>
  <si>
    <t>Roof slab</t>
  </si>
  <si>
    <t>First floor  - Toilet / Wash room</t>
  </si>
  <si>
    <t>Roof Truss - Supply, Fabrication and Fixing Roof Trusses complete with  Base plates, Gussette plates, Bolts, nuts, Washers etc including  Paint Finishes. Refer drawing detail    S 09.</t>
  </si>
  <si>
    <t>(c) Ground water connection shall be made as specified in the drawings.</t>
  </si>
  <si>
    <t>(e) All pipes shall be High Pressure  uPVC "Mutha" or equivalent brand.</t>
  </si>
  <si>
    <t>GLASS BLOCK WALL FINISHES</t>
  </si>
  <si>
    <t>200 x 200mm Glass block wall</t>
  </si>
  <si>
    <t>Ground floor</t>
  </si>
  <si>
    <t>First floor</t>
  </si>
  <si>
    <t>Second floor</t>
  </si>
  <si>
    <t>Supply, Fabrication and Installation of  S.S.Railing - Staircase as per details (Refer drawing - A13)</t>
  </si>
  <si>
    <t>Charges for construction of R.c.c. Sills and Lintels for the windows and doors as per details. Rate shall include for shuttering and Reinforcement works complete. 200 x 200mm Lintel &amp; Sill Beam inside the wall and 450 x 100mm Lintel slab and Sill slab at rear side for window W1.</t>
  </si>
  <si>
    <t>Safety - Providing and fixing scaffolding with G.I. pipes and clamps and pvc netting alaround building during construction</t>
  </si>
  <si>
    <t>LOGISTICS</t>
  </si>
  <si>
    <t>1.6</t>
  </si>
  <si>
    <t>Charges for transporting material and other logistics expenses during construction period.</t>
  </si>
  <si>
    <t>CLEAN UP</t>
  </si>
  <si>
    <t>(e) Rates shall include for supply and complete installation of fittings and fixtures.</t>
  </si>
  <si>
    <t>(d) Each Light/ light fixture and its switch is measured as one one point; similarly each fan or each socket outlet is measured as one point;</t>
  </si>
  <si>
    <t xml:space="preserve">Supply and Installation of STELCO approved Main Panel board with 4nos KWH meters. </t>
  </si>
  <si>
    <t xml:space="preserve">2 x 13A Power Socket - P02 </t>
  </si>
  <si>
    <t>1 Gang 1 way Switch - P19</t>
  </si>
  <si>
    <t>To be connected to existing well</t>
  </si>
  <si>
    <t>PROJECT : DH. KUDAHUVADHOO SCHOOL BUILDING</t>
  </si>
  <si>
    <t>PROJECT: DH. KUDAHUVADHOO SCHOOL</t>
  </si>
  <si>
    <t>130mm thick R.c.c. Floor Slab</t>
  </si>
  <si>
    <t>C1, 300 x 200mm x 08nos: (3500mm H)</t>
  </si>
  <si>
    <t>C2, 400 x 200mm x 02nos:  (3500mm H)</t>
  </si>
  <si>
    <t>C3, 500 x 225mm x 04nos:  (3500mm H)</t>
  </si>
  <si>
    <t>C4, 325mm dia. x 06nos:  (3500mm H)</t>
  </si>
  <si>
    <t>SC, 150 x 150mm x 09nos: (3100mm H)</t>
  </si>
  <si>
    <t>SC, 150 x 150mm x 09nos: (3425mm H)</t>
  </si>
  <si>
    <t>W3 - Coated Aluminium framed Window with Fixed aluminium louvered panels, 700 x 650mm</t>
  </si>
  <si>
    <t>Internal surface of external wall and both surface of Interior walls</t>
  </si>
  <si>
    <t>Corridor &amp; Stair Lobby area and Ramp</t>
  </si>
  <si>
    <t>Corridor &amp; Stair Lobby</t>
  </si>
  <si>
    <t>Second floor - Class room</t>
  </si>
  <si>
    <t>Ground floor  - Toilet / Wash room</t>
  </si>
  <si>
    <t>Second floor  - Corridor &amp; Toilet / Wash room</t>
  </si>
  <si>
    <t>1.3</t>
  </si>
  <si>
    <t>HULHUMALE' 11263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</si>
</sst>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_(* #,##0.0_);_(* \(#,##0.0\);_(* &quot;-&quot;??_);_(@_)"/>
    <numFmt numFmtId="166" formatCode="_(* #,##0.000_);_(* \(#,##0.000\);_(* &quot;-&quot;???_);_(@_)"/>
  </numFmts>
  <fonts count="30"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sz val="20"/>
      <color theme="1"/>
      <name val="Calibri"/>
      <family val="2"/>
      <scheme val="minor"/>
    </font>
    <font>
      <sz val="10"/>
      <name val="Calibri"/>
      <family val="2"/>
      <scheme val="minor"/>
    </font>
    <font>
      <b/>
      <sz val="20"/>
      <color theme="1"/>
      <name val="Calibri"/>
      <family val="2"/>
      <scheme val="minor"/>
    </font>
    <font>
      <b/>
      <sz val="11"/>
      <name val="Calibri"/>
      <family val="2"/>
      <scheme val="minor"/>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63">
    <border>
      <left/>
      <right/>
      <top/>
      <bottom/>
      <diagonal/>
    </border>
    <border>
      <left style="hair">
        <color auto="1"/>
      </left>
      <right style="hair">
        <color auto="1"/>
      </right>
      <top style="hair">
        <color auto="1"/>
      </top>
      <bottom style="hair">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diagonal/>
    </border>
    <border>
      <left/>
      <right style="thin">
        <color auto="1"/>
      </right>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auto="1"/>
      </right>
      <top style="medium">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medium">
        <color auto="1"/>
      </top>
      <bottom/>
      <diagonal/>
    </border>
    <border>
      <left style="thin">
        <color auto="1"/>
      </left>
      <right/>
      <top/>
      <bottom style="medium">
        <color auto="1"/>
      </bottom>
      <diagonal/>
    </border>
  </borders>
  <cellStyleXfs count="5">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2" fillId="0" borderId="0"/>
  </cellStyleXfs>
  <cellXfs count="632">
    <xf numFmtId="0" fontId="0" fillId="0" borderId="0" xfId="0"/>
    <xf numFmtId="49" fontId="3" fillId="2" borderId="2" xfId="0" applyNumberFormat="1" applyFont="1" applyFill="1" applyBorder="1"/>
    <xf numFmtId="0" fontId="3" fillId="2" borderId="2" xfId="0" applyFont="1" applyFill="1" applyBorder="1"/>
    <xf numFmtId="43" fontId="3" fillId="2" borderId="2" xfId="1" applyFont="1" applyFill="1" applyBorder="1"/>
    <xf numFmtId="49" fontId="6" fillId="2" borderId="3" xfId="0" applyNumberFormat="1" applyFont="1" applyFill="1" applyBorder="1"/>
    <xf numFmtId="0" fontId="6" fillId="2" borderId="4" xfId="0" applyFont="1" applyFill="1" applyBorder="1" applyAlignment="1">
      <alignment horizontal="center"/>
    </xf>
    <xf numFmtId="0" fontId="6" fillId="2" borderId="5" xfId="0" applyFont="1" applyFill="1" applyBorder="1" applyAlignment="1">
      <alignment horizontal="center"/>
    </xf>
    <xf numFmtId="49" fontId="7" fillId="2" borderId="6" xfId="0" applyNumberFormat="1" applyFont="1" applyFill="1" applyBorder="1" applyAlignment="1">
      <alignment horizontal="center"/>
    </xf>
    <xf numFmtId="0" fontId="7" fillId="2" borderId="7" xfId="0" applyFont="1" applyFill="1" applyBorder="1" applyAlignment="1">
      <alignment horizontal="left"/>
    </xf>
    <xf numFmtId="43" fontId="7" fillId="2" borderId="8" xfId="1" applyFont="1" applyFill="1" applyBorder="1" applyAlignment="1">
      <alignment horizontal="center"/>
    </xf>
    <xf numFmtId="49" fontId="7" fillId="2" borderId="9" xfId="0" applyNumberFormat="1" applyFont="1" applyFill="1" applyBorder="1" applyAlignment="1">
      <alignment horizontal="center"/>
    </xf>
    <xf numFmtId="0" fontId="7" fillId="2" borderId="10" xfId="0" applyFont="1" applyFill="1" applyBorder="1" applyAlignment="1">
      <alignment horizontal="left"/>
    </xf>
    <xf numFmtId="43" fontId="7" fillId="2" borderId="11" xfId="1" applyFont="1" applyFill="1" applyBorder="1" applyAlignment="1">
      <alignment horizontal="center"/>
    </xf>
    <xf numFmtId="49" fontId="8" fillId="2" borderId="9" xfId="0" applyNumberFormat="1" applyFont="1" applyFill="1" applyBorder="1"/>
    <xf numFmtId="0" fontId="8" fillId="2" borderId="10" xfId="0" applyFont="1" applyFill="1" applyBorder="1"/>
    <xf numFmtId="0" fontId="9" fillId="2" borderId="11" xfId="0" applyFont="1" applyFill="1" applyBorder="1" applyAlignment="1">
      <alignment horizontal="center"/>
    </xf>
    <xf numFmtId="49" fontId="8" fillId="2" borderId="12" xfId="0" applyNumberFormat="1" applyFont="1" applyFill="1" applyBorder="1"/>
    <xf numFmtId="0" fontId="8" fillId="2" borderId="13" xfId="0" applyFont="1" applyFill="1" applyBorder="1"/>
    <xf numFmtId="0" fontId="9" fillId="2" borderId="14" xfId="0" applyFont="1" applyFill="1" applyBorder="1" applyAlignment="1">
      <alignment horizontal="center"/>
    </xf>
    <xf numFmtId="49" fontId="3" fillId="2" borderId="3" xfId="0" applyNumberFormat="1" applyFont="1" applyFill="1" applyBorder="1"/>
    <xf numFmtId="0" fontId="9" fillId="2" borderId="4" xfId="0" applyFont="1" applyFill="1" applyBorder="1" applyAlignment="1">
      <alignment horizontal="center"/>
    </xf>
    <xf numFmtId="43" fontId="9" fillId="2" borderId="5" xfId="0" applyNumberFormat="1"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NumberFormat="1" applyFont="1"/>
    <xf numFmtId="43" fontId="10" fillId="0" borderId="0" xfId="1" applyFont="1"/>
    <xf numFmtId="0" fontId="10" fillId="0" borderId="0" xfId="0" applyFont="1" applyAlignment="1">
      <alignment horizontal="center" vertical="center"/>
    </xf>
    <xf numFmtId="43" fontId="11" fillId="3" borderId="1" xfId="1" applyNumberFormat="1" applyFont="1" applyFill="1" applyBorder="1" applyAlignment="1">
      <alignment horizontal="center"/>
    </xf>
    <xf numFmtId="43" fontId="10" fillId="0" borderId="0" xfId="0" applyNumberFormat="1" applyFont="1" applyAlignment="1">
      <alignment horizontal="center" vertical="center"/>
    </xf>
    <xf numFmtId="0" fontId="10" fillId="0" borderId="1" xfId="0" applyFont="1" applyBorder="1" applyAlignment="1">
      <alignment horizontal="center"/>
    </xf>
    <xf numFmtId="43" fontId="10" fillId="0" borderId="1" xfId="1" applyNumberFormat="1" applyFont="1" applyBorder="1"/>
    <xf numFmtId="43" fontId="10" fillId="0" borderId="0" xfId="0" applyNumberFormat="1" applyFont="1"/>
    <xf numFmtId="0" fontId="16" fillId="0" borderId="0" xfId="0" applyFont="1"/>
    <xf numFmtId="0" fontId="10" fillId="0" borderId="1" xfId="0" applyFont="1" applyBorder="1"/>
    <xf numFmtId="166" fontId="10" fillId="0" borderId="0" xfId="0" applyNumberFormat="1" applyFont="1"/>
    <xf numFmtId="0" fontId="10" fillId="0" borderId="0" xfId="0" applyFont="1" applyAlignment="1">
      <alignment vertical="top"/>
    </xf>
    <xf numFmtId="49" fontId="10" fillId="0" borderId="0" xfId="0" applyNumberFormat="1" applyFont="1"/>
    <xf numFmtId="165" fontId="10" fillId="0" borderId="0" xfId="1" applyNumberFormat="1" applyFont="1"/>
    <xf numFmtId="0" fontId="10" fillId="3" borderId="0" xfId="0" applyFont="1" applyFill="1"/>
    <xf numFmtId="0" fontId="17" fillId="6" borderId="1" xfId="0" applyFont="1" applyFill="1" applyBorder="1"/>
    <xf numFmtId="43" fontId="16" fillId="6" borderId="1" xfId="1" applyNumberFormat="1" applyFont="1" applyFill="1" applyBorder="1"/>
    <xf numFmtId="43" fontId="16" fillId="0" borderId="1" xfId="1" applyNumberFormat="1" applyFont="1" applyBorder="1"/>
    <xf numFmtId="0" fontId="16" fillId="0" borderId="0" xfId="0" applyFont="1" applyAlignment="1">
      <alignment horizontal="center" vertical="center"/>
    </xf>
    <xf numFmtId="0" fontId="20" fillId="0" borderId="0" xfId="0" applyFont="1" applyAlignment="1">
      <alignment horizontal="center" vertical="center"/>
    </xf>
    <xf numFmtId="0" fontId="10" fillId="0" borderId="0" xfId="0" applyFont="1" applyBorder="1" applyAlignment="1">
      <alignment horizontal="center"/>
    </xf>
    <xf numFmtId="165" fontId="10" fillId="0" borderId="0" xfId="1" applyNumberFormat="1" applyFont="1" applyBorder="1"/>
    <xf numFmtId="43" fontId="10" fillId="0" borderId="0" xfId="1" applyFont="1" applyBorder="1"/>
    <xf numFmtId="0" fontId="11" fillId="2" borderId="1" xfId="2" applyNumberFormat="1" applyFont="1" applyFill="1" applyBorder="1" applyAlignment="1">
      <alignment horizontal="left" wrapText="1"/>
    </xf>
    <xf numFmtId="164" fontId="10" fillId="0" borderId="0" xfId="0" applyNumberFormat="1" applyFont="1"/>
    <xf numFmtId="0" fontId="10" fillId="0" borderId="0" xfId="0" applyFont="1" applyAlignment="1"/>
    <xf numFmtId="164" fontId="0" fillId="0" borderId="0" xfId="0" applyNumberFormat="1"/>
    <xf numFmtId="0" fontId="11" fillId="2" borderId="1" xfId="2" applyNumberFormat="1" applyFont="1" applyFill="1" applyBorder="1" applyAlignment="1">
      <alignment horizontal="left" wrapText="1"/>
    </xf>
    <xf numFmtId="164" fontId="10" fillId="0" borderId="0" xfId="0" applyNumberFormat="1" applyFont="1" applyAlignment="1">
      <alignment horizontal="center" vertical="center"/>
    </xf>
    <xf numFmtId="43" fontId="10" fillId="0" borderId="0" xfId="0" applyNumberFormat="1" applyFont="1" applyAlignment="1"/>
    <xf numFmtId="0" fontId="11" fillId="2" borderId="1" xfId="2" applyNumberFormat="1" applyFont="1" applyFill="1" applyBorder="1" applyAlignment="1">
      <alignment horizontal="left" wrapText="1"/>
    </xf>
    <xf numFmtId="43" fontId="11" fillId="3" borderId="0" xfId="1" applyNumberFormat="1" applyFont="1" applyFill="1" applyBorder="1" applyAlignment="1">
      <alignment horizontal="center"/>
    </xf>
    <xf numFmtId="164" fontId="10" fillId="0" borderId="0" xfId="0" applyNumberFormat="1" applyFont="1" applyAlignment="1"/>
    <xf numFmtId="43" fontId="10" fillId="0" borderId="0" xfId="1" applyNumberFormat="1" applyFont="1" applyBorder="1"/>
    <xf numFmtId="49" fontId="11" fillId="2" borderId="18" xfId="2" applyNumberFormat="1" applyFont="1" applyFill="1" applyBorder="1" applyAlignment="1">
      <alignment horizontal="center" vertical="justify"/>
    </xf>
    <xf numFmtId="0" fontId="12" fillId="2" borderId="0" xfId="2" applyNumberFormat="1" applyFont="1" applyFill="1" applyBorder="1" applyAlignment="1">
      <alignment horizontal="center"/>
    </xf>
    <xf numFmtId="43" fontId="13" fillId="3" borderId="0" xfId="1" applyNumberFormat="1" applyFont="1" applyFill="1" applyBorder="1" applyAlignment="1">
      <alignment horizontal="center"/>
    </xf>
    <xf numFmtId="165" fontId="11" fillId="2" borderId="0" xfId="1" applyNumberFormat="1" applyFont="1" applyFill="1" applyBorder="1" applyAlignment="1">
      <alignment horizontal="center"/>
    </xf>
    <xf numFmtId="43" fontId="10" fillId="0" borderId="19" xfId="1" applyFont="1" applyBorder="1" applyAlignment="1">
      <alignment horizontal="center" vertical="center" wrapText="1"/>
    </xf>
    <xf numFmtId="43" fontId="11" fillId="2" borderId="0" xfId="2" applyFont="1" applyFill="1" applyBorder="1" applyAlignment="1">
      <alignment horizontal="center"/>
    </xf>
    <xf numFmtId="43" fontId="10" fillId="0" borderId="19" xfId="1" applyFont="1" applyBorder="1"/>
    <xf numFmtId="49" fontId="11" fillId="2" borderId="18" xfId="2" applyNumberFormat="1" applyFont="1" applyFill="1" applyBorder="1" applyAlignment="1">
      <alignment horizontal="center" vertical="top"/>
    </xf>
    <xf numFmtId="0" fontId="13" fillId="2" borderId="0" xfId="2" quotePrefix="1" applyNumberFormat="1" applyFont="1" applyFill="1" applyBorder="1" applyAlignment="1">
      <alignment horizontal="left"/>
    </xf>
    <xf numFmtId="0" fontId="12" fillId="2" borderId="0" xfId="2" applyNumberFormat="1" applyFont="1" applyFill="1" applyBorder="1" applyAlignment="1">
      <alignment horizontal="justify" vertical="top"/>
    </xf>
    <xf numFmtId="49" fontId="11" fillId="2" borderId="18" xfId="2" applyNumberFormat="1" applyFont="1" applyFill="1" applyBorder="1" applyAlignment="1">
      <alignment horizontal="center"/>
    </xf>
    <xf numFmtId="0" fontId="12" fillId="2" borderId="0" xfId="2" applyNumberFormat="1" applyFont="1" applyFill="1" applyBorder="1" applyAlignment="1">
      <alignment horizontal="center" vertical="top"/>
    </xf>
    <xf numFmtId="0" fontId="11" fillId="2" borderId="19" xfId="2" quotePrefix="1" applyNumberFormat="1" applyFont="1" applyFill="1" applyBorder="1" applyAlignment="1">
      <alignment vertical="top"/>
    </xf>
    <xf numFmtId="49" fontId="10" fillId="0" borderId="18" xfId="0" applyNumberFormat="1" applyFont="1" applyBorder="1"/>
    <xf numFmtId="43" fontId="16" fillId="0" borderId="19" xfId="1" applyFont="1" applyBorder="1"/>
    <xf numFmtId="0" fontId="11" fillId="2" borderId="19" xfId="2" applyNumberFormat="1" applyFont="1" applyFill="1" applyBorder="1" applyAlignment="1">
      <alignment vertical="top" wrapText="1"/>
    </xf>
    <xf numFmtId="0" fontId="11" fillId="2" borderId="19" xfId="2" applyNumberFormat="1" applyFont="1" applyFill="1" applyBorder="1" applyAlignment="1">
      <alignment wrapText="1"/>
    </xf>
    <xf numFmtId="43" fontId="11" fillId="3" borderId="0" xfId="1" applyFont="1" applyFill="1" applyBorder="1" applyAlignment="1">
      <alignment horizontal="center"/>
    </xf>
    <xf numFmtId="0" fontId="12" fillId="2" borderId="0" xfId="2" quotePrefix="1" applyNumberFormat="1" applyFont="1" applyFill="1" applyBorder="1" applyAlignment="1">
      <alignment horizontal="center"/>
    </xf>
    <xf numFmtId="49" fontId="13" fillId="2" borderId="18" xfId="2" applyNumberFormat="1" applyFont="1" applyFill="1" applyBorder="1" applyAlignment="1">
      <alignment horizontal="center" vertical="justify"/>
    </xf>
    <xf numFmtId="0" fontId="11" fillId="2" borderId="19" xfId="2" applyNumberFormat="1" applyFont="1" applyFill="1" applyBorder="1" applyAlignment="1"/>
    <xf numFmtId="0" fontId="10" fillId="0" borderId="0" xfId="0" applyFont="1" applyBorder="1"/>
    <xf numFmtId="49" fontId="13" fillId="3" borderId="18" xfId="2" applyNumberFormat="1" applyFont="1" applyFill="1" applyBorder="1" applyAlignment="1">
      <alignment horizontal="center" vertical="justify"/>
    </xf>
    <xf numFmtId="43" fontId="13" fillId="3" borderId="0" xfId="2" applyFont="1" applyFill="1" applyBorder="1" applyAlignment="1">
      <alignment horizontal="center"/>
    </xf>
    <xf numFmtId="165" fontId="11" fillId="3" borderId="0" xfId="1" applyNumberFormat="1" applyFont="1" applyFill="1" applyBorder="1" applyAlignment="1">
      <alignment horizontal="center"/>
    </xf>
    <xf numFmtId="49" fontId="13" fillId="10" borderId="18" xfId="2" applyNumberFormat="1" applyFont="1" applyFill="1" applyBorder="1" applyAlignment="1">
      <alignment horizontal="center"/>
    </xf>
    <xf numFmtId="0" fontId="12" fillId="10" borderId="0" xfId="2" applyNumberFormat="1" applyFont="1" applyFill="1" applyBorder="1" applyAlignment="1">
      <alignment horizontal="left" wrapText="1"/>
    </xf>
    <xf numFmtId="165" fontId="11" fillId="10" borderId="0" xfId="1" applyNumberFormat="1" applyFont="1" applyFill="1" applyBorder="1" applyAlignment="1">
      <alignment horizontal="center"/>
    </xf>
    <xf numFmtId="43" fontId="10" fillId="10" borderId="0" xfId="1" applyFont="1" applyFill="1" applyBorder="1"/>
    <xf numFmtId="43" fontId="10" fillId="10" borderId="19" xfId="1" applyFont="1" applyFill="1" applyBorder="1"/>
    <xf numFmtId="43" fontId="11" fillId="10" borderId="0" xfId="2" applyFont="1" applyFill="1" applyBorder="1" applyAlignment="1">
      <alignment horizontal="center"/>
    </xf>
    <xf numFmtId="43" fontId="11" fillId="10" borderId="0" xfId="1" applyNumberFormat="1" applyFont="1" applyFill="1" applyBorder="1" applyAlignment="1">
      <alignment horizontal="center"/>
    </xf>
    <xf numFmtId="43" fontId="10" fillId="5" borderId="19" xfId="1" applyFont="1" applyFill="1" applyBorder="1"/>
    <xf numFmtId="0" fontId="11" fillId="0" borderId="0" xfId="0" applyFont="1" applyBorder="1" applyAlignment="1">
      <alignment vertical="center" wrapText="1"/>
    </xf>
    <xf numFmtId="0" fontId="11" fillId="0" borderId="19" xfId="0" applyFont="1" applyBorder="1" applyAlignment="1">
      <alignment vertical="center" wrapText="1"/>
    </xf>
    <xf numFmtId="0" fontId="11" fillId="2" borderId="0" xfId="3" applyNumberFormat="1" applyFont="1" applyFill="1" applyBorder="1" applyAlignment="1">
      <alignment wrapText="1"/>
    </xf>
    <xf numFmtId="0" fontId="11" fillId="2" borderId="19" xfId="3" applyNumberFormat="1" applyFont="1" applyFill="1" applyBorder="1" applyAlignment="1">
      <alignment wrapText="1"/>
    </xf>
    <xf numFmtId="49" fontId="13" fillId="2" borderId="18" xfId="2" applyNumberFormat="1" applyFont="1" applyFill="1" applyBorder="1" applyAlignment="1">
      <alignment horizontal="left" vertical="justify"/>
    </xf>
    <xf numFmtId="43" fontId="11" fillId="2" borderId="0" xfId="1" applyNumberFormat="1" applyFont="1" applyFill="1" applyBorder="1" applyAlignment="1">
      <alignment horizontal="center"/>
    </xf>
    <xf numFmtId="49" fontId="11" fillId="2" borderId="18" xfId="2" applyNumberFormat="1" applyFont="1" applyFill="1" applyBorder="1" applyAlignment="1">
      <alignment horizontal="left" vertical="justify"/>
    </xf>
    <xf numFmtId="49" fontId="11" fillId="2" borderId="18" xfId="2" applyNumberFormat="1" applyFont="1" applyFill="1" applyBorder="1" applyAlignment="1">
      <alignment horizontal="left"/>
    </xf>
    <xf numFmtId="43" fontId="16" fillId="3" borderId="19" xfId="1" applyFont="1" applyFill="1" applyBorder="1"/>
    <xf numFmtId="165" fontId="11" fillId="2" borderId="18" xfId="1" applyNumberFormat="1" applyFont="1" applyFill="1" applyBorder="1" applyAlignment="1">
      <alignment horizontal="left" vertical="justify"/>
    </xf>
    <xf numFmtId="43" fontId="16" fillId="11" borderId="19" xfId="1" applyFont="1" applyFill="1" applyBorder="1"/>
    <xf numFmtId="165" fontId="11" fillId="2" borderId="20" xfId="1" applyNumberFormat="1" applyFont="1" applyFill="1" applyBorder="1" applyAlignment="1">
      <alignment horizontal="left" vertical="justify"/>
    </xf>
    <xf numFmtId="0" fontId="13" fillId="2" borderId="21" xfId="2" quotePrefix="1" applyNumberFormat="1" applyFont="1" applyFill="1" applyBorder="1" applyAlignment="1">
      <alignment horizontal="left"/>
    </xf>
    <xf numFmtId="0" fontId="10" fillId="0" borderId="21" xfId="0" applyFont="1" applyBorder="1" applyAlignment="1">
      <alignment horizontal="center"/>
    </xf>
    <xf numFmtId="43" fontId="10" fillId="0" borderId="21" xfId="1" applyFont="1" applyBorder="1"/>
    <xf numFmtId="165" fontId="10" fillId="0" borderId="21" xfId="1" applyNumberFormat="1" applyFont="1" applyBorder="1"/>
    <xf numFmtId="43" fontId="16" fillId="0" borderId="22" xfId="1" applyFont="1" applyBorder="1"/>
    <xf numFmtId="49" fontId="10" fillId="0" borderId="23" xfId="0" applyNumberFormat="1" applyFont="1" applyBorder="1" applyAlignment="1">
      <alignment horizontal="center" vertical="center"/>
    </xf>
    <xf numFmtId="0" fontId="10" fillId="0" borderId="24" xfId="0" applyFont="1" applyBorder="1" applyAlignment="1">
      <alignment horizontal="center" vertical="center"/>
    </xf>
    <xf numFmtId="43" fontId="10" fillId="0" borderId="24" xfId="1" applyNumberFormat="1" applyFont="1" applyBorder="1" applyAlignment="1">
      <alignment horizontal="center" vertical="center"/>
    </xf>
    <xf numFmtId="165" fontId="10" fillId="0" borderId="24" xfId="1" applyNumberFormat="1" applyFont="1" applyBorder="1" applyAlignment="1">
      <alignment horizontal="center" vertical="center" wrapText="1"/>
    </xf>
    <xf numFmtId="43" fontId="10" fillId="0" borderId="24" xfId="1" applyFont="1" applyBorder="1" applyAlignment="1">
      <alignment horizontal="center" vertical="center" wrapText="1"/>
    </xf>
    <xf numFmtId="43" fontId="10" fillId="0" borderId="25" xfId="1" applyFont="1" applyBorder="1" applyAlignment="1">
      <alignment horizontal="center" vertical="center" wrapText="1"/>
    </xf>
    <xf numFmtId="49" fontId="11" fillId="2" borderId="26" xfId="2" applyNumberFormat="1" applyFont="1" applyFill="1" applyBorder="1" applyAlignment="1">
      <alignment horizontal="center" vertical="justify"/>
    </xf>
    <xf numFmtId="0" fontId="13" fillId="2" borderId="27" xfId="2" quotePrefix="1" applyNumberFormat="1" applyFont="1" applyFill="1" applyBorder="1" applyAlignment="1">
      <alignment horizontal="left"/>
    </xf>
    <xf numFmtId="0" fontId="11" fillId="3" borderId="27" xfId="3" applyFont="1" applyFill="1" applyBorder="1" applyAlignment="1">
      <alignment horizontal="center"/>
    </xf>
    <xf numFmtId="43" fontId="11" fillId="3" borderId="27" xfId="1" applyNumberFormat="1" applyFont="1" applyFill="1" applyBorder="1" applyAlignment="1">
      <alignment horizontal="center"/>
    </xf>
    <xf numFmtId="165" fontId="11" fillId="2" borderId="27" xfId="1" applyNumberFormat="1" applyFont="1" applyFill="1" applyBorder="1" applyAlignment="1">
      <alignment horizontal="center"/>
    </xf>
    <xf numFmtId="43" fontId="10" fillId="0" borderId="28" xfId="1" applyFont="1" applyBorder="1" applyAlignment="1">
      <alignment horizontal="center" vertical="center" wrapText="1"/>
    </xf>
    <xf numFmtId="49" fontId="11" fillId="2" borderId="20" xfId="2" applyNumberFormat="1" applyFont="1" applyFill="1" applyBorder="1" applyAlignment="1">
      <alignment horizontal="center" vertical="justify"/>
    </xf>
    <xf numFmtId="0" fontId="11" fillId="4" borderId="21" xfId="3" applyFont="1" applyFill="1" applyBorder="1" applyAlignment="1">
      <alignment horizontal="center"/>
    </xf>
    <xf numFmtId="43" fontId="11" fillId="3" borderId="21" xfId="1" applyNumberFormat="1" applyFont="1" applyFill="1" applyBorder="1" applyAlignment="1">
      <alignment horizontal="center"/>
    </xf>
    <xf numFmtId="165" fontId="11" fillId="2" borderId="21" xfId="1" applyNumberFormat="1" applyFont="1" applyFill="1" applyBorder="1" applyAlignment="1">
      <alignment horizontal="center"/>
    </xf>
    <xf numFmtId="43" fontId="16" fillId="0" borderId="22" xfId="1" applyFont="1" applyBorder="1" applyAlignment="1">
      <alignment horizontal="center" vertical="center" wrapText="1"/>
    </xf>
    <xf numFmtId="43" fontId="10" fillId="0" borderId="29" xfId="1" applyFont="1" applyBorder="1" applyAlignment="1">
      <alignment horizontal="center" vertical="center" wrapText="1"/>
    </xf>
    <xf numFmtId="43" fontId="10" fillId="0" borderId="30" xfId="1" applyFont="1" applyBorder="1" applyAlignment="1">
      <alignment horizontal="center" vertical="center" wrapText="1"/>
    </xf>
    <xf numFmtId="43" fontId="11" fillId="2" borderId="27" xfId="2" applyFont="1" applyFill="1" applyBorder="1" applyAlignment="1">
      <alignment horizontal="center"/>
    </xf>
    <xf numFmtId="43" fontId="11" fillId="2" borderId="21" xfId="2" applyFont="1" applyFill="1" applyBorder="1" applyAlignment="1">
      <alignment horizontal="center"/>
    </xf>
    <xf numFmtId="43" fontId="10" fillId="0" borderId="21" xfId="1" applyNumberFormat="1" applyFont="1" applyBorder="1"/>
    <xf numFmtId="43" fontId="10" fillId="0" borderId="22" xfId="1" applyFont="1" applyBorder="1"/>
    <xf numFmtId="49" fontId="16" fillId="6" borderId="31" xfId="0" applyNumberFormat="1" applyFont="1" applyFill="1" applyBorder="1"/>
    <xf numFmtId="0" fontId="17" fillId="6" borderId="32" xfId="0" applyFont="1" applyFill="1" applyBorder="1" applyAlignment="1">
      <alignment wrapText="1"/>
    </xf>
    <xf numFmtId="0" fontId="16" fillId="6" borderId="32" xfId="0" applyFont="1" applyFill="1" applyBorder="1" applyAlignment="1">
      <alignment horizontal="center"/>
    </xf>
    <xf numFmtId="43" fontId="16" fillId="6" borderId="32" xfId="1" applyNumberFormat="1" applyFont="1" applyFill="1" applyBorder="1"/>
    <xf numFmtId="165" fontId="16" fillId="6" borderId="32" xfId="1" applyNumberFormat="1" applyFont="1" applyFill="1" applyBorder="1"/>
    <xf numFmtId="43" fontId="16" fillId="6" borderId="32" xfId="1" applyFont="1" applyFill="1" applyBorder="1"/>
    <xf numFmtId="43" fontId="16" fillId="6" borderId="33" xfId="1" applyFont="1" applyFill="1" applyBorder="1"/>
    <xf numFmtId="49" fontId="11" fillId="2" borderId="31" xfId="2" applyNumberFormat="1" applyFont="1" applyFill="1" applyBorder="1" applyAlignment="1">
      <alignment horizontal="center" vertical="justify"/>
    </xf>
    <xf numFmtId="0" fontId="11" fillId="2" borderId="32" xfId="2" applyNumberFormat="1" applyFont="1" applyFill="1" applyBorder="1" applyAlignment="1">
      <alignment horizontal="left" vertical="top" wrapText="1"/>
    </xf>
    <xf numFmtId="49" fontId="11" fillId="2" borderId="32" xfId="2" applyNumberFormat="1" applyFont="1" applyFill="1" applyBorder="1" applyAlignment="1">
      <alignment horizontal="center"/>
    </xf>
    <xf numFmtId="43" fontId="11" fillId="3" borderId="32" xfId="1" applyNumberFormat="1" applyFont="1" applyFill="1" applyBorder="1" applyAlignment="1">
      <alignment horizontal="center"/>
    </xf>
    <xf numFmtId="165" fontId="11" fillId="2" borderId="32" xfId="1" applyNumberFormat="1" applyFont="1" applyFill="1" applyBorder="1" applyAlignment="1">
      <alignment horizontal="center"/>
    </xf>
    <xf numFmtId="43" fontId="10" fillId="0" borderId="32" xfId="1" applyFont="1" applyBorder="1"/>
    <xf numFmtId="43" fontId="10" fillId="0" borderId="33" xfId="1" applyFont="1" applyBorder="1"/>
    <xf numFmtId="49" fontId="10" fillId="0" borderId="31" xfId="0" applyNumberFormat="1" applyFont="1" applyBorder="1"/>
    <xf numFmtId="0" fontId="10" fillId="0" borderId="32" xfId="0" applyFont="1" applyBorder="1" applyAlignment="1">
      <alignment wrapText="1"/>
    </xf>
    <xf numFmtId="0" fontId="10" fillId="0" borderId="32" xfId="0" applyFont="1" applyBorder="1" applyAlignment="1">
      <alignment horizontal="center"/>
    </xf>
    <xf numFmtId="43" fontId="10" fillId="0" borderId="32" xfId="1" applyNumberFormat="1" applyFont="1" applyBorder="1"/>
    <xf numFmtId="49" fontId="16" fillId="0" borderId="31" xfId="0" applyNumberFormat="1" applyFont="1" applyBorder="1"/>
    <xf numFmtId="0" fontId="17" fillId="0" borderId="32" xfId="0" applyFont="1" applyBorder="1" applyAlignment="1">
      <alignment wrapText="1"/>
    </xf>
    <xf numFmtId="0" fontId="16" fillId="0" borderId="32" xfId="0" applyFont="1" applyBorder="1" applyAlignment="1">
      <alignment horizontal="center"/>
    </xf>
    <xf numFmtId="43" fontId="16" fillId="0" borderId="32" xfId="1" applyNumberFormat="1" applyFont="1" applyBorder="1"/>
    <xf numFmtId="165" fontId="16" fillId="0" borderId="32" xfId="1" applyNumberFormat="1" applyFont="1" applyBorder="1"/>
    <xf numFmtId="43" fontId="16" fillId="0" borderId="32" xfId="1" applyFont="1" applyBorder="1"/>
    <xf numFmtId="43" fontId="16" fillId="0" borderId="33" xfId="1" applyFont="1" applyBorder="1"/>
    <xf numFmtId="43" fontId="10" fillId="0" borderId="35" xfId="1" applyNumberFormat="1" applyFont="1" applyBorder="1"/>
    <xf numFmtId="165" fontId="11" fillId="2" borderId="35" xfId="1" applyNumberFormat="1" applyFont="1" applyFill="1" applyBorder="1" applyAlignment="1">
      <alignment horizontal="center"/>
    </xf>
    <xf numFmtId="43" fontId="10" fillId="0" borderId="35" xfId="1" applyFont="1" applyBorder="1"/>
    <xf numFmtId="43" fontId="10" fillId="0" borderId="36" xfId="1" applyFont="1" applyBorder="1"/>
    <xf numFmtId="49" fontId="16" fillId="6" borderId="37" xfId="0" applyNumberFormat="1" applyFont="1" applyFill="1" applyBorder="1"/>
    <xf numFmtId="0" fontId="16" fillId="6" borderId="38" xfId="0" applyFont="1" applyFill="1" applyBorder="1" applyAlignment="1">
      <alignment horizontal="center"/>
    </xf>
    <xf numFmtId="43" fontId="16" fillId="6" borderId="38" xfId="1" applyNumberFormat="1" applyFont="1" applyFill="1" applyBorder="1"/>
    <xf numFmtId="165" fontId="16" fillId="6" borderId="38" xfId="1" applyNumberFormat="1" applyFont="1" applyFill="1" applyBorder="1"/>
    <xf numFmtId="43" fontId="16" fillId="6" borderId="38" xfId="1" applyFont="1" applyFill="1" applyBorder="1"/>
    <xf numFmtId="43" fontId="16" fillId="6" borderId="39" xfId="1" applyFont="1" applyFill="1" applyBorder="1"/>
    <xf numFmtId="43" fontId="10" fillId="0" borderId="27" xfId="1" applyFont="1" applyBorder="1"/>
    <xf numFmtId="43" fontId="10" fillId="0" borderId="28" xfId="1" applyFont="1" applyBorder="1"/>
    <xf numFmtId="43" fontId="10" fillId="0" borderId="40" xfId="1" applyFont="1" applyBorder="1"/>
    <xf numFmtId="43" fontId="16" fillId="0" borderId="36" xfId="1" applyFont="1" applyBorder="1"/>
    <xf numFmtId="43" fontId="10" fillId="6" borderId="38" xfId="1" applyFont="1" applyFill="1" applyBorder="1"/>
    <xf numFmtId="43" fontId="10" fillId="6" borderId="39" xfId="1" applyFont="1" applyFill="1" applyBorder="1"/>
    <xf numFmtId="0" fontId="10" fillId="6" borderId="32" xfId="0" applyFont="1" applyFill="1" applyBorder="1" applyAlignment="1">
      <alignment horizontal="center"/>
    </xf>
    <xf numFmtId="43" fontId="10" fillId="6" borderId="32" xfId="1" applyNumberFormat="1" applyFont="1" applyFill="1" applyBorder="1"/>
    <xf numFmtId="165" fontId="10" fillId="6" borderId="32" xfId="1" applyNumberFormat="1" applyFont="1" applyFill="1" applyBorder="1"/>
    <xf numFmtId="43" fontId="10" fillId="6" borderId="32" xfId="1" applyFont="1" applyFill="1" applyBorder="1"/>
    <xf numFmtId="43" fontId="10" fillId="6" borderId="33" xfId="1" applyFont="1" applyFill="1" applyBorder="1"/>
    <xf numFmtId="165" fontId="10" fillId="0" borderId="32" xfId="1" applyNumberFormat="1" applyFont="1" applyBorder="1"/>
    <xf numFmtId="49" fontId="16" fillId="3" borderId="31" xfId="0" applyNumberFormat="1" applyFont="1" applyFill="1" applyBorder="1"/>
    <xf numFmtId="0" fontId="17" fillId="3" borderId="32" xfId="0" applyFont="1" applyFill="1" applyBorder="1" applyAlignment="1">
      <alignment wrapText="1"/>
    </xf>
    <xf numFmtId="0" fontId="16" fillId="3" borderId="32" xfId="0" applyFont="1" applyFill="1" applyBorder="1" applyAlignment="1">
      <alignment horizontal="center"/>
    </xf>
    <xf numFmtId="43" fontId="16" fillId="3" borderId="32" xfId="1" applyNumberFormat="1" applyFont="1" applyFill="1" applyBorder="1"/>
    <xf numFmtId="165" fontId="16" fillId="3" borderId="32" xfId="1" applyNumberFormat="1" applyFont="1" applyFill="1" applyBorder="1"/>
    <xf numFmtId="49" fontId="10" fillId="3" borderId="31" xfId="0" applyNumberFormat="1" applyFont="1" applyFill="1" applyBorder="1"/>
    <xf numFmtId="0" fontId="10" fillId="3" borderId="32" xfId="0" applyFont="1" applyFill="1" applyBorder="1" applyAlignment="1">
      <alignment wrapText="1"/>
    </xf>
    <xf numFmtId="0" fontId="10" fillId="3" borderId="32" xfId="0" applyFont="1" applyFill="1" applyBorder="1" applyAlignment="1">
      <alignment horizontal="center"/>
    </xf>
    <xf numFmtId="43" fontId="10" fillId="3" borderId="32" xfId="1" applyNumberFormat="1" applyFont="1" applyFill="1" applyBorder="1"/>
    <xf numFmtId="165" fontId="10" fillId="3" borderId="32" xfId="1" applyNumberFormat="1" applyFont="1" applyFill="1" applyBorder="1"/>
    <xf numFmtId="43" fontId="10" fillId="3" borderId="32" xfId="1" applyFont="1" applyFill="1" applyBorder="1"/>
    <xf numFmtId="43" fontId="10" fillId="3" borderId="33" xfId="1" applyFont="1" applyFill="1" applyBorder="1"/>
    <xf numFmtId="49" fontId="16" fillId="0" borderId="31" xfId="0" applyNumberFormat="1" applyFont="1" applyBorder="1" applyAlignment="1">
      <alignment vertical="top"/>
    </xf>
    <xf numFmtId="49" fontId="10" fillId="0" borderId="31" xfId="0" applyNumberFormat="1" applyFont="1" applyBorder="1" applyAlignment="1">
      <alignment vertical="top"/>
    </xf>
    <xf numFmtId="0" fontId="11" fillId="3" borderId="32" xfId="3" applyFont="1" applyFill="1" applyBorder="1" applyAlignment="1">
      <alignment horizontal="left" wrapText="1"/>
    </xf>
    <xf numFmtId="43" fontId="11" fillId="3" borderId="32" xfId="1" applyFont="1" applyFill="1" applyBorder="1" applyAlignment="1">
      <alignment horizontal="center"/>
    </xf>
    <xf numFmtId="0" fontId="16" fillId="0" borderId="32" xfId="0" applyFont="1" applyBorder="1" applyAlignment="1">
      <alignment wrapText="1"/>
    </xf>
    <xf numFmtId="165" fontId="10" fillId="0" borderId="35" xfId="1" applyNumberFormat="1" applyFont="1" applyBorder="1"/>
    <xf numFmtId="0" fontId="10" fillId="0" borderId="35" xfId="0" applyFont="1" applyBorder="1" applyAlignment="1">
      <alignment horizontal="center"/>
    </xf>
    <xf numFmtId="0" fontId="17" fillId="6" borderId="32" xfId="0" applyFont="1" applyFill="1" applyBorder="1"/>
    <xf numFmtId="0" fontId="16" fillId="0" borderId="32" xfId="0" applyFont="1" applyBorder="1"/>
    <xf numFmtId="0" fontId="10" fillId="0" borderId="32" xfId="0" applyFont="1" applyBorder="1"/>
    <xf numFmtId="49" fontId="13" fillId="5" borderId="31" xfId="2" applyNumberFormat="1" applyFont="1" applyFill="1" applyBorder="1" applyAlignment="1">
      <alignment horizontal="center" vertical="justify"/>
    </xf>
    <xf numFmtId="43" fontId="11" fillId="5" borderId="32" xfId="2" applyFont="1" applyFill="1" applyBorder="1" applyAlignment="1">
      <alignment horizontal="center"/>
    </xf>
    <xf numFmtId="43" fontId="11" fillId="5" borderId="32" xfId="1" applyNumberFormat="1" applyFont="1" applyFill="1" applyBorder="1" applyAlignment="1">
      <alignment horizontal="center"/>
    </xf>
    <xf numFmtId="165" fontId="11" fillId="5" borderId="32" xfId="1" applyNumberFormat="1" applyFont="1" applyFill="1" applyBorder="1" applyAlignment="1">
      <alignment horizontal="center"/>
    </xf>
    <xf numFmtId="43" fontId="13" fillId="5" borderId="33" xfId="2" applyFont="1" applyFill="1" applyBorder="1"/>
    <xf numFmtId="0" fontId="11" fillId="2" borderId="32" xfId="2" applyNumberFormat="1" applyFont="1" applyFill="1" applyBorder="1" applyAlignment="1">
      <alignment wrapText="1"/>
    </xf>
    <xf numFmtId="0" fontId="11" fillId="2" borderId="33" xfId="2" applyNumberFormat="1" applyFont="1" applyFill="1" applyBorder="1" applyAlignment="1"/>
    <xf numFmtId="0" fontId="11" fillId="2" borderId="32" xfId="2" applyNumberFormat="1" applyFont="1" applyFill="1" applyBorder="1" applyAlignment="1"/>
    <xf numFmtId="0" fontId="17" fillId="0" borderId="32" xfId="0" applyFont="1" applyBorder="1"/>
    <xf numFmtId="43" fontId="16" fillId="0" borderId="32" xfId="1" applyFont="1" applyBorder="1" applyAlignment="1"/>
    <xf numFmtId="43" fontId="10" fillId="0" borderId="29" xfId="1" applyFont="1" applyBorder="1"/>
    <xf numFmtId="43" fontId="10" fillId="0" borderId="30" xfId="1" applyFont="1" applyBorder="1"/>
    <xf numFmtId="49" fontId="13" fillId="10" borderId="37" xfId="2" applyNumberFormat="1" applyFont="1" applyFill="1" applyBorder="1" applyAlignment="1">
      <alignment horizontal="center"/>
    </xf>
    <xf numFmtId="0" fontId="12" fillId="10" borderId="38" xfId="2" applyNumberFormat="1" applyFont="1" applyFill="1" applyBorder="1" applyAlignment="1">
      <alignment horizontal="left" wrapText="1"/>
    </xf>
    <xf numFmtId="43" fontId="13" fillId="10" borderId="38" xfId="2" applyFont="1" applyFill="1" applyBorder="1" applyAlignment="1">
      <alignment horizontal="center"/>
    </xf>
    <xf numFmtId="43" fontId="13" fillId="10" borderId="38" xfId="1" applyNumberFormat="1" applyFont="1" applyFill="1" applyBorder="1" applyAlignment="1">
      <alignment horizontal="center"/>
    </xf>
    <xf numFmtId="165" fontId="11" fillId="10" borderId="38" xfId="1" applyNumberFormat="1" applyFont="1" applyFill="1" applyBorder="1" applyAlignment="1">
      <alignment horizontal="center"/>
    </xf>
    <xf numFmtId="43" fontId="10" fillId="10" borderId="38" xfId="1" applyFont="1" applyFill="1" applyBorder="1"/>
    <xf numFmtId="43" fontId="10" fillId="10" borderId="39" xfId="1" applyFont="1" applyFill="1" applyBorder="1"/>
    <xf numFmtId="49" fontId="3" fillId="3" borderId="31" xfId="0" applyNumberFormat="1" applyFont="1" applyFill="1" applyBorder="1" applyAlignment="1">
      <alignment horizontal="center" vertical="center"/>
    </xf>
    <xf numFmtId="0" fontId="22" fillId="3" borderId="32" xfId="0" applyFont="1" applyFill="1" applyBorder="1" applyAlignment="1">
      <alignment vertical="center" wrapText="1"/>
    </xf>
    <xf numFmtId="0" fontId="3" fillId="3" borderId="32" xfId="0" applyFont="1" applyFill="1" applyBorder="1" applyAlignment="1">
      <alignment horizontal="center" vertical="center"/>
    </xf>
    <xf numFmtId="43" fontId="3" fillId="3" borderId="32" xfId="0" applyNumberFormat="1" applyFont="1" applyFill="1" applyBorder="1" applyAlignment="1">
      <alignment horizontal="center" vertical="center"/>
    </xf>
    <xf numFmtId="165" fontId="11" fillId="3" borderId="32" xfId="1" applyNumberFormat="1" applyFont="1" applyFill="1" applyBorder="1" applyAlignment="1">
      <alignment horizontal="center"/>
    </xf>
    <xf numFmtId="49" fontId="3" fillId="6" borderId="31" xfId="0" applyNumberFormat="1" applyFont="1" applyFill="1" applyBorder="1" applyAlignment="1">
      <alignment horizontal="center" vertical="center"/>
    </xf>
    <xf numFmtId="0" fontId="22" fillId="6" borderId="32" xfId="0" applyFont="1" applyFill="1" applyBorder="1" applyAlignment="1">
      <alignment vertical="center" wrapText="1"/>
    </xf>
    <xf numFmtId="0" fontId="3" fillId="6" borderId="32" xfId="0" applyFont="1" applyFill="1" applyBorder="1" applyAlignment="1">
      <alignment horizontal="center" vertical="center"/>
    </xf>
    <xf numFmtId="43" fontId="3" fillId="6" borderId="32" xfId="0" applyNumberFormat="1" applyFont="1" applyFill="1" applyBorder="1" applyAlignment="1">
      <alignment horizontal="center" vertical="center"/>
    </xf>
    <xf numFmtId="0" fontId="3" fillId="3" borderId="32" xfId="0" applyFont="1" applyFill="1" applyBorder="1" applyAlignment="1">
      <alignment vertical="center" wrapText="1"/>
    </xf>
    <xf numFmtId="0" fontId="11" fillId="2" borderId="17" xfId="2" applyNumberFormat="1" applyFont="1" applyFill="1" applyBorder="1" applyAlignment="1">
      <alignment wrapText="1"/>
    </xf>
    <xf numFmtId="0" fontId="11" fillId="2" borderId="46" xfId="2" applyNumberFormat="1" applyFont="1" applyFill="1" applyBorder="1" applyAlignment="1">
      <alignment wrapText="1"/>
    </xf>
    <xf numFmtId="49" fontId="3" fillId="6" borderId="37" xfId="0" applyNumberFormat="1" applyFont="1" applyFill="1" applyBorder="1" applyAlignment="1">
      <alignment horizontal="center" vertical="center"/>
    </xf>
    <xf numFmtId="0" fontId="22" fillId="6" borderId="38" xfId="0" applyFont="1" applyFill="1" applyBorder="1" applyAlignment="1">
      <alignment vertical="center" wrapText="1"/>
    </xf>
    <xf numFmtId="0" fontId="3" fillId="6" borderId="38" xfId="0" applyFont="1" applyFill="1" applyBorder="1" applyAlignment="1">
      <alignment horizontal="center" vertical="center"/>
    </xf>
    <xf numFmtId="43" fontId="3" fillId="6" borderId="38" xfId="0" applyNumberFormat="1" applyFont="1" applyFill="1" applyBorder="1" applyAlignment="1">
      <alignment horizontal="center" vertical="center"/>
    </xf>
    <xf numFmtId="165" fontId="11" fillId="6" borderId="38" xfId="1" applyNumberFormat="1" applyFont="1" applyFill="1" applyBorder="1" applyAlignment="1">
      <alignment horizontal="center"/>
    </xf>
    <xf numFmtId="0" fontId="25" fillId="3" borderId="32" xfId="0" applyFont="1" applyFill="1" applyBorder="1" applyAlignment="1">
      <alignment vertical="center" wrapText="1"/>
    </xf>
    <xf numFmtId="165" fontId="11" fillId="6" borderId="32" xfId="1" applyNumberFormat="1" applyFont="1" applyFill="1" applyBorder="1" applyAlignment="1">
      <alignment horizontal="center"/>
    </xf>
    <xf numFmtId="49" fontId="13" fillId="5" borderId="31" xfId="2" applyNumberFormat="1" applyFont="1" applyFill="1" applyBorder="1" applyAlignment="1">
      <alignment horizontal="center"/>
    </xf>
    <xf numFmtId="0" fontId="12" fillId="5" borderId="32" xfId="2" applyNumberFormat="1" applyFont="1" applyFill="1" applyBorder="1" applyAlignment="1">
      <alignment horizontal="left" wrapText="1"/>
    </xf>
    <xf numFmtId="43" fontId="10" fillId="5" borderId="32" xfId="1" applyFont="1" applyFill="1" applyBorder="1"/>
    <xf numFmtId="43" fontId="10" fillId="5" borderId="33" xfId="1" applyFont="1" applyFill="1" applyBorder="1"/>
    <xf numFmtId="49" fontId="13" fillId="3" borderId="31" xfId="2" applyNumberFormat="1" applyFont="1" applyFill="1" applyBorder="1" applyAlignment="1">
      <alignment horizontal="center"/>
    </xf>
    <xf numFmtId="0" fontId="11" fillId="3" borderId="32" xfId="2" applyNumberFormat="1" applyFont="1" applyFill="1" applyBorder="1" applyAlignment="1">
      <alignment horizontal="left" wrapText="1"/>
    </xf>
    <xf numFmtId="43" fontId="11" fillId="3" borderId="32" xfId="2" applyFont="1" applyFill="1" applyBorder="1" applyAlignment="1">
      <alignment horizontal="center"/>
    </xf>
    <xf numFmtId="49" fontId="11" fillId="3" borderId="31" xfId="2" applyNumberFormat="1" applyFont="1" applyFill="1" applyBorder="1" applyAlignment="1">
      <alignment horizontal="center" vertical="top"/>
    </xf>
    <xf numFmtId="43" fontId="11" fillId="2" borderId="32" xfId="2" applyFont="1" applyFill="1" applyBorder="1" applyAlignment="1">
      <alignment horizontal="center"/>
    </xf>
    <xf numFmtId="49" fontId="11" fillId="2" borderId="47" xfId="2" applyNumberFormat="1" applyFont="1" applyFill="1" applyBorder="1" applyAlignment="1">
      <alignment horizontal="center" vertical="justify"/>
    </xf>
    <xf numFmtId="0" fontId="13" fillId="2" borderId="48" xfId="2" quotePrefix="1" applyNumberFormat="1" applyFont="1" applyFill="1" applyBorder="1" applyAlignment="1">
      <alignment horizontal="left"/>
    </xf>
    <xf numFmtId="43" fontId="11" fillId="2" borderId="48" xfId="2" applyFont="1" applyFill="1" applyBorder="1" applyAlignment="1">
      <alignment horizontal="center"/>
    </xf>
    <xf numFmtId="43" fontId="11" fillId="3" borderId="48" xfId="1" applyNumberFormat="1" applyFont="1" applyFill="1" applyBorder="1" applyAlignment="1">
      <alignment horizontal="center"/>
    </xf>
    <xf numFmtId="165" fontId="11" fillId="2" borderId="48" xfId="1" applyNumberFormat="1" applyFont="1" applyFill="1" applyBorder="1" applyAlignment="1">
      <alignment horizontal="center"/>
    </xf>
    <xf numFmtId="43" fontId="10" fillId="0" borderId="48" xfId="1" applyFont="1" applyBorder="1"/>
    <xf numFmtId="49" fontId="11" fillId="2" borderId="34" xfId="2" applyNumberFormat="1" applyFont="1" applyFill="1" applyBorder="1" applyAlignment="1">
      <alignment horizontal="center" vertical="justify"/>
    </xf>
    <xf numFmtId="43" fontId="11" fillId="3" borderId="35" xfId="1" applyNumberFormat="1" applyFont="1" applyFill="1" applyBorder="1" applyAlignment="1">
      <alignment horizontal="center"/>
    </xf>
    <xf numFmtId="49" fontId="13" fillId="6" borderId="37" xfId="2" applyNumberFormat="1" applyFont="1" applyFill="1" applyBorder="1" applyAlignment="1">
      <alignment horizontal="center" vertical="justify"/>
    </xf>
    <xf numFmtId="0" fontId="12" fillId="6" borderId="38" xfId="2" applyNumberFormat="1" applyFont="1" applyFill="1" applyBorder="1" applyAlignment="1">
      <alignment horizontal="left" vertical="top"/>
    </xf>
    <xf numFmtId="43" fontId="11" fillId="6" borderId="38" xfId="2" applyFont="1" applyFill="1" applyBorder="1" applyAlignment="1">
      <alignment horizontal="center"/>
    </xf>
    <xf numFmtId="43" fontId="11" fillId="6" borderId="38" xfId="1" applyNumberFormat="1" applyFont="1" applyFill="1" applyBorder="1" applyAlignment="1">
      <alignment horizontal="center"/>
    </xf>
    <xf numFmtId="49" fontId="13" fillId="8" borderId="31" xfId="2" applyNumberFormat="1" applyFont="1" applyFill="1" applyBorder="1" applyAlignment="1">
      <alignment horizontal="center" vertical="justify"/>
    </xf>
    <xf numFmtId="0" fontId="12" fillId="8" borderId="32" xfId="2" applyNumberFormat="1" applyFont="1" applyFill="1" applyBorder="1" applyAlignment="1">
      <alignment horizontal="left" vertical="top"/>
    </xf>
    <xf numFmtId="43" fontId="11" fillId="8" borderId="32" xfId="2" applyFont="1" applyFill="1" applyBorder="1" applyAlignment="1">
      <alignment horizontal="center"/>
    </xf>
    <xf numFmtId="43" fontId="11" fillId="8" borderId="32" xfId="1" applyNumberFormat="1" applyFont="1" applyFill="1" applyBorder="1" applyAlignment="1">
      <alignment horizontal="center"/>
    </xf>
    <xf numFmtId="165" fontId="11" fillId="8" borderId="32" xfId="1" applyNumberFormat="1" applyFont="1" applyFill="1" applyBorder="1" applyAlignment="1">
      <alignment horizontal="center"/>
    </xf>
    <xf numFmtId="43" fontId="10" fillId="8" borderId="32" xfId="1" applyFont="1" applyFill="1" applyBorder="1"/>
    <xf numFmtId="43" fontId="10" fillId="8" borderId="33" xfId="1" applyFont="1" applyFill="1" applyBorder="1"/>
    <xf numFmtId="49" fontId="11" fillId="2" borderId="31" xfId="2" applyNumberFormat="1" applyFont="1" applyFill="1" applyBorder="1" applyAlignment="1">
      <alignment horizontal="center" vertical="top"/>
    </xf>
    <xf numFmtId="0" fontId="11" fillId="0" borderId="32" xfId="3" applyFont="1" applyBorder="1" applyAlignment="1">
      <alignment horizontal="left" wrapText="1"/>
    </xf>
    <xf numFmtId="0" fontId="11" fillId="0" borderId="32" xfId="3" applyFont="1" applyFill="1" applyBorder="1" applyAlignment="1">
      <alignment horizontal="center"/>
    </xf>
    <xf numFmtId="43" fontId="10" fillId="0" borderId="32" xfId="1" applyFont="1" applyBorder="1" applyAlignment="1"/>
    <xf numFmtId="43" fontId="10" fillId="0" borderId="33" xfId="1" applyFont="1" applyBorder="1" applyAlignment="1"/>
    <xf numFmtId="49" fontId="13" fillId="6" borderId="31" xfId="2" applyNumberFormat="1" applyFont="1" applyFill="1" applyBorder="1" applyAlignment="1">
      <alignment horizontal="center" vertical="justify"/>
    </xf>
    <xf numFmtId="0" fontId="12" fillId="6" borderId="32" xfId="2" applyNumberFormat="1" applyFont="1" applyFill="1" applyBorder="1" applyAlignment="1">
      <alignment horizontal="left" vertical="top"/>
    </xf>
    <xf numFmtId="43" fontId="11" fillId="6" borderId="32" xfId="2" applyFont="1" applyFill="1" applyBorder="1" applyAlignment="1">
      <alignment horizontal="center"/>
    </xf>
    <xf numFmtId="43" fontId="11" fillId="6" borderId="32" xfId="1" applyNumberFormat="1" applyFont="1" applyFill="1" applyBorder="1" applyAlignment="1">
      <alignment horizontal="center"/>
    </xf>
    <xf numFmtId="49" fontId="13" fillId="2" borderId="31" xfId="2" applyNumberFormat="1" applyFont="1" applyFill="1" applyBorder="1" applyAlignment="1">
      <alignment horizontal="center" vertical="justify"/>
    </xf>
    <xf numFmtId="43" fontId="13" fillId="2" borderId="32" xfId="2" applyFont="1" applyFill="1" applyBorder="1" applyAlignment="1">
      <alignment horizontal="center"/>
    </xf>
    <xf numFmtId="43" fontId="13" fillId="3" borderId="32" xfId="1" applyNumberFormat="1" applyFont="1" applyFill="1" applyBorder="1" applyAlignment="1">
      <alignment horizontal="center"/>
    </xf>
    <xf numFmtId="43" fontId="13" fillId="2" borderId="48" xfId="2" applyFont="1" applyFill="1" applyBorder="1" applyAlignment="1">
      <alignment horizontal="center"/>
    </xf>
    <xf numFmtId="43" fontId="13" fillId="3" borderId="48" xfId="1" applyNumberFormat="1" applyFont="1" applyFill="1" applyBorder="1" applyAlignment="1">
      <alignment horizontal="center"/>
    </xf>
    <xf numFmtId="49" fontId="13" fillId="2" borderId="26" xfId="2" applyNumberFormat="1" applyFont="1" applyFill="1" applyBorder="1" applyAlignment="1">
      <alignment horizontal="center" vertical="justify"/>
    </xf>
    <xf numFmtId="43" fontId="13" fillId="2" borderId="27" xfId="2" applyFont="1" applyFill="1" applyBorder="1" applyAlignment="1">
      <alignment horizontal="center"/>
    </xf>
    <xf numFmtId="43" fontId="13" fillId="3" borderId="27" xfId="1" applyNumberFormat="1" applyFont="1" applyFill="1" applyBorder="1" applyAlignment="1">
      <alignment horizontal="center"/>
    </xf>
    <xf numFmtId="49" fontId="13" fillId="2" borderId="20" xfId="2" applyNumberFormat="1" applyFont="1" applyFill="1" applyBorder="1" applyAlignment="1">
      <alignment horizontal="center" vertical="justify"/>
    </xf>
    <xf numFmtId="43" fontId="13" fillId="2" borderId="21" xfId="2" applyFont="1" applyFill="1" applyBorder="1" applyAlignment="1">
      <alignment horizontal="center"/>
    </xf>
    <xf numFmtId="43" fontId="13" fillId="3" borderId="21" xfId="1" applyNumberFormat="1" applyFont="1" applyFill="1" applyBorder="1" applyAlignment="1">
      <alignment horizontal="center"/>
    </xf>
    <xf numFmtId="0" fontId="13" fillId="6" borderId="32" xfId="3" applyFont="1" applyFill="1" applyBorder="1" applyAlignment="1">
      <alignment horizontal="center"/>
    </xf>
    <xf numFmtId="43" fontId="13" fillId="6" borderId="32" xfId="1" applyNumberFormat="1" applyFont="1" applyFill="1" applyBorder="1" applyAlignment="1">
      <alignment horizontal="center"/>
    </xf>
    <xf numFmtId="165" fontId="13" fillId="6" borderId="32" xfId="1" applyNumberFormat="1" applyFont="1" applyFill="1" applyBorder="1" applyAlignment="1">
      <alignment horizontal="center"/>
    </xf>
    <xf numFmtId="0" fontId="11" fillId="3" borderId="32" xfId="2" applyNumberFormat="1" applyFont="1" applyFill="1" applyBorder="1" applyAlignment="1">
      <alignment horizontal="justify"/>
    </xf>
    <xf numFmtId="0" fontId="11" fillId="3" borderId="32" xfId="3" applyFont="1" applyFill="1" applyBorder="1" applyAlignment="1">
      <alignment horizontal="center"/>
    </xf>
    <xf numFmtId="0" fontId="12" fillId="5" borderId="32" xfId="2" applyNumberFormat="1" applyFont="1" applyFill="1" applyBorder="1" applyAlignment="1">
      <alignment horizontal="left"/>
    </xf>
    <xf numFmtId="0" fontId="11" fillId="2" borderId="32" xfId="3" applyFont="1" applyFill="1" applyBorder="1" applyAlignment="1">
      <alignment horizontal="left" wrapText="1"/>
    </xf>
    <xf numFmtId="0" fontId="11" fillId="0" borderId="32" xfId="3" applyFont="1" applyBorder="1" applyAlignment="1">
      <alignment horizontal="center"/>
    </xf>
    <xf numFmtId="49" fontId="13" fillId="5" borderId="37" xfId="2" applyNumberFormat="1" applyFont="1" applyFill="1" applyBorder="1" applyAlignment="1">
      <alignment horizontal="center" vertical="justify"/>
    </xf>
    <xf numFmtId="0" fontId="12" fillId="5" borderId="38" xfId="2" applyNumberFormat="1" applyFont="1" applyFill="1" applyBorder="1" applyAlignment="1">
      <alignment horizontal="justify" vertical="top"/>
    </xf>
    <xf numFmtId="43" fontId="11" fillId="5" borderId="38" xfId="2" applyFont="1" applyFill="1" applyBorder="1" applyAlignment="1">
      <alignment horizontal="center"/>
    </xf>
    <xf numFmtId="43" fontId="11" fillId="5" borderId="38" xfId="1" applyNumberFormat="1" applyFont="1" applyFill="1" applyBorder="1" applyAlignment="1">
      <alignment horizontal="center"/>
    </xf>
    <xf numFmtId="165" fontId="11" fillId="5" borderId="38" xfId="1" applyNumberFormat="1" applyFont="1" applyFill="1" applyBorder="1" applyAlignment="1">
      <alignment horizontal="center"/>
    </xf>
    <xf numFmtId="43" fontId="13" fillId="5" borderId="39" xfId="2" applyFont="1" applyFill="1" applyBorder="1"/>
    <xf numFmtId="0" fontId="12" fillId="6" borderId="32" xfId="2" applyNumberFormat="1" applyFont="1" applyFill="1" applyBorder="1" applyAlignment="1">
      <alignment horizontal="left"/>
    </xf>
    <xf numFmtId="0" fontId="11" fillId="6" borderId="32" xfId="2" applyNumberFormat="1" applyFont="1" applyFill="1" applyBorder="1" applyAlignment="1">
      <alignment horizontal="center"/>
    </xf>
    <xf numFmtId="43" fontId="11" fillId="6" borderId="33" xfId="2" applyFont="1" applyFill="1" applyBorder="1"/>
    <xf numFmtId="49" fontId="13" fillId="2" borderId="31" xfId="3" applyNumberFormat="1" applyFont="1" applyFill="1" applyBorder="1" applyAlignment="1">
      <alignment horizontal="center"/>
    </xf>
    <xf numFmtId="0" fontId="12" fillId="0" borderId="32" xfId="3" applyFont="1" applyFill="1" applyBorder="1" applyAlignment="1">
      <alignment horizontal="left" wrapText="1"/>
    </xf>
    <xf numFmtId="0" fontId="21" fillId="0" borderId="32" xfId="3" applyFont="1" applyFill="1" applyBorder="1" applyAlignment="1">
      <alignment horizontal="center"/>
    </xf>
    <xf numFmtId="43" fontId="21" fillId="3" borderId="32" xfId="1" applyNumberFormat="1" applyFont="1" applyFill="1" applyBorder="1" applyAlignment="1">
      <alignment horizontal="center"/>
    </xf>
    <xf numFmtId="165" fontId="13" fillId="2" borderId="32" xfId="1" applyNumberFormat="1" applyFont="1" applyFill="1" applyBorder="1" applyAlignment="1">
      <alignment horizontal="center"/>
    </xf>
    <xf numFmtId="0" fontId="12" fillId="5" borderId="32" xfId="2" applyNumberFormat="1" applyFont="1" applyFill="1" applyBorder="1" applyAlignment="1">
      <alignment horizontal="justify" vertical="top"/>
    </xf>
    <xf numFmtId="0" fontId="11" fillId="2" borderId="22" xfId="2" applyNumberFormat="1" applyFont="1" applyFill="1" applyBorder="1" applyAlignment="1"/>
    <xf numFmtId="49" fontId="13" fillId="6" borderId="47" xfId="1" applyNumberFormat="1" applyFont="1" applyFill="1" applyBorder="1" applyAlignment="1">
      <alignment horizontal="left" vertical="justify"/>
    </xf>
    <xf numFmtId="0" fontId="12" fillId="6" borderId="48" xfId="2" applyNumberFormat="1" applyFont="1" applyFill="1" applyBorder="1" applyAlignment="1">
      <alignment horizontal="justify"/>
    </xf>
    <xf numFmtId="43" fontId="13" fillId="6" borderId="48" xfId="2" applyFont="1" applyFill="1" applyBorder="1" applyAlignment="1">
      <alignment horizontal="center"/>
    </xf>
    <xf numFmtId="43" fontId="13" fillId="6" borderId="48" xfId="1" applyFont="1" applyFill="1" applyBorder="1" applyAlignment="1">
      <alignment horizontal="center"/>
    </xf>
    <xf numFmtId="165" fontId="13" fillId="6" borderId="48" xfId="1" applyNumberFormat="1" applyFont="1" applyFill="1" applyBorder="1" applyAlignment="1">
      <alignment horizontal="center"/>
    </xf>
    <xf numFmtId="43" fontId="10" fillId="6" borderId="48" xfId="1" applyFont="1" applyFill="1" applyBorder="1"/>
    <xf numFmtId="43" fontId="10" fillId="6" borderId="40" xfId="1" applyFont="1" applyFill="1" applyBorder="1"/>
    <xf numFmtId="49" fontId="13" fillId="10" borderId="31" xfId="1" applyNumberFormat="1" applyFont="1" applyFill="1" applyBorder="1" applyAlignment="1">
      <alignment horizontal="left" vertical="justify"/>
    </xf>
    <xf numFmtId="0" fontId="12" fillId="10" borderId="32" xfId="2" applyNumberFormat="1" applyFont="1" applyFill="1" applyBorder="1" applyAlignment="1">
      <alignment horizontal="justify"/>
    </xf>
    <xf numFmtId="43" fontId="11" fillId="10" borderId="32" xfId="2" applyFont="1" applyFill="1" applyBorder="1" applyAlignment="1">
      <alignment horizontal="center"/>
    </xf>
    <xf numFmtId="43" fontId="11" fillId="10" borderId="32" xfId="1" applyFont="1" applyFill="1" applyBorder="1" applyAlignment="1">
      <alignment horizontal="center"/>
    </xf>
    <xf numFmtId="165" fontId="11" fillId="10" borderId="32" xfId="1" applyNumberFormat="1" applyFont="1" applyFill="1" applyBorder="1" applyAlignment="1">
      <alignment horizontal="center"/>
    </xf>
    <xf numFmtId="43" fontId="11" fillId="10" borderId="32" xfId="1" applyNumberFormat="1" applyFont="1" applyFill="1" applyBorder="1" applyAlignment="1">
      <alignment horizontal="center"/>
    </xf>
    <xf numFmtId="43" fontId="13" fillId="10" borderId="33" xfId="2" applyFont="1" applyFill="1" applyBorder="1"/>
    <xf numFmtId="49" fontId="11" fillId="3" borderId="31" xfId="1" applyNumberFormat="1" applyFont="1" applyFill="1" applyBorder="1" applyAlignment="1">
      <alignment horizontal="left" vertical="justify"/>
    </xf>
    <xf numFmtId="0" fontId="12" fillId="10" borderId="32" xfId="2" applyNumberFormat="1" applyFont="1" applyFill="1" applyBorder="1" applyAlignment="1">
      <alignment horizontal="left"/>
    </xf>
    <xf numFmtId="43" fontId="10" fillId="10" borderId="32" xfId="1" applyFont="1" applyFill="1" applyBorder="1"/>
    <xf numFmtId="43" fontId="10" fillId="10" borderId="33" xfId="1" applyFont="1" applyFill="1" applyBorder="1"/>
    <xf numFmtId="0" fontId="12" fillId="10" borderId="32" xfId="3" applyFont="1" applyFill="1" applyBorder="1" applyAlignment="1">
      <alignment horizontal="left" wrapText="1"/>
    </xf>
    <xf numFmtId="0" fontId="13" fillId="10" borderId="32" xfId="3" applyFont="1" applyFill="1" applyBorder="1" applyAlignment="1">
      <alignment horizontal="center"/>
    </xf>
    <xf numFmtId="43" fontId="11" fillId="3" borderId="35" xfId="1" applyFont="1" applyFill="1" applyBorder="1" applyAlignment="1">
      <alignment horizontal="center"/>
    </xf>
    <xf numFmtId="49" fontId="11" fillId="3" borderId="47" xfId="1" applyNumberFormat="1" applyFont="1" applyFill="1" applyBorder="1" applyAlignment="1">
      <alignment horizontal="left" vertical="justify"/>
    </xf>
    <xf numFmtId="0" fontId="11" fillId="3" borderId="48" xfId="3" applyFont="1" applyFill="1" applyBorder="1" applyAlignment="1">
      <alignment horizontal="left" wrapText="1"/>
    </xf>
    <xf numFmtId="0" fontId="11" fillId="3" borderId="48" xfId="3" applyFont="1" applyFill="1" applyBorder="1" applyAlignment="1">
      <alignment horizontal="center"/>
    </xf>
    <xf numFmtId="43" fontId="11" fillId="3" borderId="48" xfId="1" applyFont="1" applyFill="1" applyBorder="1" applyAlignment="1">
      <alignment horizontal="center"/>
    </xf>
    <xf numFmtId="49" fontId="13" fillId="6" borderId="31" xfId="1" applyNumberFormat="1" applyFont="1" applyFill="1" applyBorder="1" applyAlignment="1">
      <alignment horizontal="left" vertical="justify"/>
    </xf>
    <xf numFmtId="0" fontId="12" fillId="6" borderId="32" xfId="2" applyNumberFormat="1" applyFont="1" applyFill="1" applyBorder="1" applyAlignment="1">
      <alignment horizontal="justify"/>
    </xf>
    <xf numFmtId="43" fontId="13" fillId="6" borderId="32" xfId="2" applyFont="1" applyFill="1" applyBorder="1" applyAlignment="1">
      <alignment horizontal="center"/>
    </xf>
    <xf numFmtId="43" fontId="13" fillId="6" borderId="32" xfId="1" applyFont="1" applyFill="1" applyBorder="1" applyAlignment="1">
      <alignment horizontal="center"/>
    </xf>
    <xf numFmtId="0" fontId="11" fillId="0" borderId="35" xfId="3" applyFont="1" applyBorder="1" applyAlignment="1">
      <alignment horizontal="left" wrapText="1"/>
    </xf>
    <xf numFmtId="0" fontId="11" fillId="0" borderId="35" xfId="3" applyFont="1" applyBorder="1" applyAlignment="1">
      <alignment horizontal="center"/>
    </xf>
    <xf numFmtId="49" fontId="11" fillId="2" borderId="20" xfId="2" applyNumberFormat="1" applyFont="1" applyFill="1" applyBorder="1" applyAlignment="1">
      <alignment horizontal="left" vertical="justify"/>
    </xf>
    <xf numFmtId="49" fontId="13" fillId="9" borderId="47" xfId="1" applyNumberFormat="1" applyFont="1" applyFill="1" applyBorder="1" applyAlignment="1">
      <alignment horizontal="left" vertical="justify"/>
    </xf>
    <xf numFmtId="0" fontId="12" fillId="9" borderId="48" xfId="2" applyNumberFormat="1" applyFont="1" applyFill="1" applyBorder="1" applyAlignment="1">
      <alignment horizontal="justify"/>
    </xf>
    <xf numFmtId="43" fontId="13" fillId="9" borderId="48" xfId="2" applyFont="1" applyFill="1" applyBorder="1" applyAlignment="1">
      <alignment horizontal="center"/>
    </xf>
    <xf numFmtId="43" fontId="13" fillId="9" borderId="48" xfId="1" applyFont="1" applyFill="1" applyBorder="1" applyAlignment="1">
      <alignment horizontal="center"/>
    </xf>
    <xf numFmtId="165" fontId="13" fillId="9" borderId="48" xfId="1" applyNumberFormat="1" applyFont="1" applyFill="1" applyBorder="1" applyAlignment="1">
      <alignment horizontal="center"/>
    </xf>
    <xf numFmtId="43" fontId="10" fillId="9" borderId="48" xfId="1" applyFont="1" applyFill="1" applyBorder="1"/>
    <xf numFmtId="43" fontId="10" fillId="9" borderId="40" xfId="1" applyFont="1" applyFill="1" applyBorder="1"/>
    <xf numFmtId="49" fontId="24" fillId="3" borderId="31" xfId="0" applyNumberFormat="1" applyFont="1" applyFill="1" applyBorder="1" applyAlignment="1">
      <alignment horizontal="center" vertical="top"/>
    </xf>
    <xf numFmtId="0" fontId="22" fillId="3" borderId="32" xfId="0" applyFont="1" applyFill="1" applyBorder="1" applyAlignment="1">
      <alignment vertical="justify" wrapText="1"/>
    </xf>
    <xf numFmtId="49" fontId="3" fillId="3" borderId="31" xfId="0" applyNumberFormat="1" applyFont="1" applyFill="1" applyBorder="1" applyAlignment="1">
      <alignment horizontal="center" vertical="top"/>
    </xf>
    <xf numFmtId="0" fontId="3" fillId="3" borderId="32" xfId="0" applyFont="1" applyFill="1" applyBorder="1" applyAlignment="1">
      <alignment wrapText="1"/>
    </xf>
    <xf numFmtId="0" fontId="3" fillId="3" borderId="32" xfId="0" applyFont="1" applyFill="1" applyBorder="1" applyAlignment="1">
      <alignment horizontal="center"/>
    </xf>
    <xf numFmtId="43" fontId="3" fillId="3" borderId="32" xfId="0" applyNumberFormat="1" applyFont="1" applyFill="1" applyBorder="1" applyAlignment="1">
      <alignment horizontal="center"/>
    </xf>
    <xf numFmtId="43" fontId="11" fillId="3" borderId="32" xfId="1" applyNumberFormat="1" applyFont="1" applyFill="1" applyBorder="1" applyAlignment="1"/>
    <xf numFmtId="43" fontId="16" fillId="3" borderId="33" xfId="1" applyFont="1" applyFill="1" applyBorder="1" applyAlignment="1"/>
    <xf numFmtId="0" fontId="3" fillId="3" borderId="32" xfId="0" applyFont="1" applyFill="1" applyBorder="1" applyAlignment="1">
      <alignment vertical="justify" wrapText="1"/>
    </xf>
    <xf numFmtId="0" fontId="24" fillId="3" borderId="32" xfId="0" applyFont="1" applyFill="1" applyBorder="1" applyAlignment="1">
      <alignment horizontal="center" vertical="center"/>
    </xf>
    <xf numFmtId="43" fontId="24" fillId="3" borderId="32" xfId="0" applyNumberFormat="1" applyFont="1" applyFill="1" applyBorder="1" applyAlignment="1">
      <alignment horizontal="center" vertical="center"/>
    </xf>
    <xf numFmtId="43" fontId="16" fillId="3" borderId="33" xfId="1" applyFont="1" applyFill="1" applyBorder="1"/>
    <xf numFmtId="43" fontId="11" fillId="3" borderId="35" xfId="1" applyNumberFormat="1" applyFont="1" applyFill="1" applyBorder="1" applyAlignment="1"/>
    <xf numFmtId="43" fontId="16" fillId="3" borderId="36" xfId="1" applyFont="1" applyFill="1" applyBorder="1"/>
    <xf numFmtId="49" fontId="13" fillId="9" borderId="31" xfId="1" applyNumberFormat="1" applyFont="1" applyFill="1" applyBorder="1" applyAlignment="1">
      <alignment horizontal="left" vertical="justify"/>
    </xf>
    <xf numFmtId="0" fontId="12" fillId="9" borderId="32" xfId="2" applyNumberFormat="1" applyFont="1" applyFill="1" applyBorder="1" applyAlignment="1">
      <alignment horizontal="justify"/>
    </xf>
    <xf numFmtId="43" fontId="13" fillId="9" borderId="32" xfId="2" applyFont="1" applyFill="1" applyBorder="1" applyAlignment="1">
      <alignment horizontal="center"/>
    </xf>
    <xf numFmtId="43" fontId="13" fillId="9" borderId="32" xfId="1" applyFont="1" applyFill="1" applyBorder="1" applyAlignment="1">
      <alignment horizontal="center"/>
    </xf>
    <xf numFmtId="165" fontId="13" fillId="9" borderId="32" xfId="1" applyNumberFormat="1" applyFont="1" applyFill="1" applyBorder="1" applyAlignment="1">
      <alignment horizontal="center"/>
    </xf>
    <xf numFmtId="43" fontId="10" fillId="9" borderId="32" xfId="1" applyFont="1" applyFill="1" applyBorder="1"/>
    <xf numFmtId="43" fontId="10" fillId="9" borderId="33" xfId="1" applyFont="1" applyFill="1" applyBorder="1"/>
    <xf numFmtId="0" fontId="10" fillId="0" borderId="27" xfId="0" applyFont="1" applyBorder="1" applyAlignment="1">
      <alignment horizontal="center"/>
    </xf>
    <xf numFmtId="43" fontId="10" fillId="0" borderId="27" xfId="1" applyNumberFormat="1" applyFont="1" applyBorder="1"/>
    <xf numFmtId="165" fontId="10" fillId="0" borderId="27" xfId="1" applyNumberFormat="1" applyFont="1" applyBorder="1"/>
    <xf numFmtId="43" fontId="16" fillId="0" borderId="28" xfId="1" applyFont="1" applyBorder="1"/>
    <xf numFmtId="165" fontId="11" fillId="2" borderId="26" xfId="1" applyNumberFormat="1" applyFont="1" applyFill="1" applyBorder="1" applyAlignment="1">
      <alignment horizontal="left" vertical="justify"/>
    </xf>
    <xf numFmtId="165" fontId="13" fillId="2" borderId="47" xfId="1" applyNumberFormat="1" applyFont="1" applyFill="1" applyBorder="1" applyAlignment="1">
      <alignment horizontal="left" vertical="justify"/>
    </xf>
    <xf numFmtId="0" fontId="13" fillId="0" borderId="48" xfId="3" applyFont="1" applyBorder="1" applyAlignment="1">
      <alignment horizontal="left" wrapText="1"/>
    </xf>
    <xf numFmtId="0" fontId="13" fillId="0" borderId="48" xfId="3" applyFont="1" applyBorder="1" applyAlignment="1">
      <alignment horizontal="center"/>
    </xf>
    <xf numFmtId="43" fontId="13" fillId="3" borderId="48" xfId="1" applyFont="1" applyFill="1" applyBorder="1" applyAlignment="1">
      <alignment horizontal="center"/>
    </xf>
    <xf numFmtId="165" fontId="13" fillId="2" borderId="48" xfId="1" applyNumberFormat="1" applyFont="1" applyFill="1" applyBorder="1" applyAlignment="1">
      <alignment horizontal="center"/>
    </xf>
    <xf numFmtId="43" fontId="16" fillId="0" borderId="48" xfId="1" applyFont="1" applyBorder="1"/>
    <xf numFmtId="165" fontId="11" fillId="2" borderId="31" xfId="1" applyNumberFormat="1" applyFont="1" applyFill="1" applyBorder="1" applyAlignment="1">
      <alignment horizontal="left" vertical="justify"/>
    </xf>
    <xf numFmtId="165" fontId="13" fillId="11" borderId="31" xfId="1" applyNumberFormat="1" applyFont="1" applyFill="1" applyBorder="1" applyAlignment="1">
      <alignment horizontal="left" vertical="justify"/>
    </xf>
    <xf numFmtId="0" fontId="13" fillId="11" borderId="32" xfId="3" applyFont="1" applyFill="1" applyBorder="1" applyAlignment="1">
      <alignment horizontal="left" wrapText="1"/>
    </xf>
    <xf numFmtId="0" fontId="13" fillId="11" borderId="32" xfId="3" applyFont="1" applyFill="1" applyBorder="1" applyAlignment="1">
      <alignment horizontal="center"/>
    </xf>
    <xf numFmtId="43" fontId="13" fillId="11" borderId="32" xfId="1" applyFont="1" applyFill="1" applyBorder="1" applyAlignment="1">
      <alignment horizontal="center"/>
    </xf>
    <xf numFmtId="165" fontId="13" fillId="11" borderId="32" xfId="1" applyNumberFormat="1" applyFont="1" applyFill="1" applyBorder="1" applyAlignment="1">
      <alignment horizontal="center"/>
    </xf>
    <xf numFmtId="43" fontId="16" fillId="11" borderId="32" xfId="1" applyFont="1" applyFill="1" applyBorder="1"/>
    <xf numFmtId="165" fontId="13" fillId="2" borderId="31" xfId="1" applyNumberFormat="1" applyFont="1" applyFill="1" applyBorder="1" applyAlignment="1">
      <alignment horizontal="left"/>
    </xf>
    <xf numFmtId="0" fontId="12" fillId="0" borderId="32" xfId="3" applyNumberFormat="1" applyFont="1" applyBorder="1" applyAlignment="1">
      <alignment horizontal="left"/>
    </xf>
    <xf numFmtId="0" fontId="13" fillId="0" borderId="32" xfId="3" applyFont="1" applyBorder="1" applyAlignment="1">
      <alignment horizontal="center"/>
    </xf>
    <xf numFmtId="43" fontId="13" fillId="3" borderId="32" xfId="1" applyFont="1" applyFill="1" applyBorder="1" applyAlignment="1">
      <alignment horizontal="center"/>
    </xf>
    <xf numFmtId="165" fontId="13" fillId="3" borderId="31" xfId="1" applyNumberFormat="1" applyFont="1" applyFill="1" applyBorder="1" applyAlignment="1">
      <alignment horizontal="left" vertical="justify"/>
    </xf>
    <xf numFmtId="0" fontId="13" fillId="3" borderId="32" xfId="3" applyFont="1" applyFill="1" applyBorder="1" applyAlignment="1">
      <alignment horizontal="left" wrapText="1"/>
    </xf>
    <xf numFmtId="0" fontId="13" fillId="3" borderId="32" xfId="3" applyFont="1" applyFill="1" applyBorder="1" applyAlignment="1">
      <alignment horizontal="center"/>
    </xf>
    <xf numFmtId="165" fontId="13" fillId="3" borderId="32" xfId="1" applyNumberFormat="1" applyFont="1" applyFill="1" applyBorder="1" applyAlignment="1">
      <alignment horizontal="center"/>
    </xf>
    <xf numFmtId="43" fontId="16" fillId="3" borderId="32" xfId="1" applyFont="1" applyFill="1" applyBorder="1"/>
    <xf numFmtId="165" fontId="13" fillId="3" borderId="34" xfId="1" applyNumberFormat="1" applyFont="1" applyFill="1" applyBorder="1" applyAlignment="1">
      <alignment horizontal="left" vertical="justify"/>
    </xf>
    <xf numFmtId="0" fontId="13" fillId="3" borderId="35" xfId="3" applyFont="1" applyFill="1" applyBorder="1" applyAlignment="1">
      <alignment horizontal="left" wrapText="1"/>
    </xf>
    <xf numFmtId="0" fontId="13" fillId="3" borderId="35" xfId="3" applyFont="1" applyFill="1" applyBorder="1" applyAlignment="1">
      <alignment horizontal="center"/>
    </xf>
    <xf numFmtId="43" fontId="13" fillId="3" borderId="35" xfId="1" applyFont="1" applyFill="1" applyBorder="1" applyAlignment="1">
      <alignment horizontal="center"/>
    </xf>
    <xf numFmtId="165" fontId="13" fillId="3" borderId="35" xfId="1" applyNumberFormat="1" applyFont="1" applyFill="1" applyBorder="1" applyAlignment="1">
      <alignment horizontal="center"/>
    </xf>
    <xf numFmtId="43" fontId="16" fillId="3" borderId="35" xfId="1" applyFont="1" applyFill="1" applyBorder="1"/>
    <xf numFmtId="165" fontId="11" fillId="2" borderId="47" xfId="1" applyNumberFormat="1" applyFont="1" applyFill="1" applyBorder="1" applyAlignment="1">
      <alignment horizontal="left" vertical="justify"/>
    </xf>
    <xf numFmtId="0" fontId="12" fillId="2" borderId="48" xfId="2" quotePrefix="1" applyNumberFormat="1" applyFont="1" applyFill="1" applyBorder="1" applyAlignment="1">
      <alignment horizontal="center"/>
    </xf>
    <xf numFmtId="0" fontId="12" fillId="2" borderId="32" xfId="2" applyNumberFormat="1" applyFont="1" applyFill="1" applyBorder="1" applyAlignment="1">
      <alignment horizontal="center"/>
    </xf>
    <xf numFmtId="165" fontId="13" fillId="5" borderId="31" xfId="1" applyNumberFormat="1" applyFont="1" applyFill="1" applyBorder="1" applyAlignment="1">
      <alignment horizontal="left" vertical="justify"/>
    </xf>
    <xf numFmtId="0" fontId="11" fillId="5" borderId="32" xfId="3" applyFont="1" applyFill="1" applyBorder="1" applyAlignment="1">
      <alignment horizontal="center"/>
    </xf>
    <xf numFmtId="43" fontId="11" fillId="5" borderId="32" xfId="1" applyFont="1" applyFill="1" applyBorder="1" applyAlignment="1">
      <alignment horizontal="center"/>
    </xf>
    <xf numFmtId="165" fontId="11" fillId="5" borderId="31" xfId="1" applyNumberFormat="1" applyFont="1" applyFill="1" applyBorder="1" applyAlignment="1">
      <alignment horizontal="left" vertical="justify"/>
    </xf>
    <xf numFmtId="165" fontId="11" fillId="2" borderId="34" xfId="1" applyNumberFormat="1" applyFont="1" applyFill="1" applyBorder="1" applyAlignment="1">
      <alignment horizontal="left" vertical="justify"/>
    </xf>
    <xf numFmtId="165" fontId="11" fillId="3" borderId="31" xfId="1" applyNumberFormat="1" applyFont="1" applyFill="1" applyBorder="1" applyAlignment="1">
      <alignment horizontal="left" vertical="justify"/>
    </xf>
    <xf numFmtId="0" fontId="12" fillId="3" borderId="32" xfId="2" applyNumberFormat="1" applyFont="1" applyFill="1" applyBorder="1" applyAlignment="1">
      <alignment horizontal="left"/>
    </xf>
    <xf numFmtId="43" fontId="10" fillId="0" borderId="48" xfId="1" applyFont="1" applyBorder="1" applyAlignment="1">
      <alignment horizontal="center" vertical="center" wrapText="1"/>
    </xf>
    <xf numFmtId="43" fontId="10" fillId="0" borderId="32" xfId="1" applyFont="1" applyBorder="1" applyAlignment="1">
      <alignment horizontal="center" vertical="center" wrapText="1"/>
    </xf>
    <xf numFmtId="0" fontId="13" fillId="2" borderId="32" xfId="2" applyNumberFormat="1" applyFont="1" applyFill="1" applyBorder="1" applyAlignment="1">
      <alignment horizontal="left"/>
    </xf>
    <xf numFmtId="0" fontId="12" fillId="2" borderId="32" xfId="2" applyNumberFormat="1" applyFont="1" applyFill="1" applyBorder="1" applyAlignment="1">
      <alignment horizontal="left"/>
    </xf>
    <xf numFmtId="49" fontId="11" fillId="2" borderId="31" xfId="2" quotePrefix="1" applyNumberFormat="1" applyFont="1" applyFill="1" applyBorder="1" applyAlignment="1">
      <alignment horizontal="center" vertical="justify"/>
    </xf>
    <xf numFmtId="0" fontId="14" fillId="2" borderId="32" xfId="2" applyNumberFormat="1" applyFont="1" applyFill="1" applyBorder="1" applyAlignment="1">
      <alignment horizontal="left"/>
    </xf>
    <xf numFmtId="0" fontId="11" fillId="2" borderId="32" xfId="2" applyNumberFormat="1" applyFont="1" applyFill="1" applyBorder="1" applyAlignment="1">
      <alignment horizontal="left"/>
    </xf>
    <xf numFmtId="0" fontId="12" fillId="2" borderId="32" xfId="2" applyNumberFormat="1" applyFont="1" applyFill="1" applyBorder="1"/>
    <xf numFmtId="0" fontId="11" fillId="2" borderId="32" xfId="2" applyNumberFormat="1" applyFont="1" applyFill="1" applyBorder="1" applyAlignment="1">
      <alignment horizontal="justify"/>
    </xf>
    <xf numFmtId="0" fontId="11" fillId="2" borderId="32" xfId="2" applyNumberFormat="1" applyFont="1" applyFill="1" applyBorder="1"/>
    <xf numFmtId="0" fontId="14" fillId="2" borderId="32" xfId="2" applyNumberFormat="1" applyFont="1" applyFill="1" applyBorder="1"/>
    <xf numFmtId="0" fontId="12" fillId="2" borderId="32" xfId="2" applyNumberFormat="1" applyFont="1" applyFill="1" applyBorder="1" applyAlignment="1">
      <alignment vertical="top"/>
    </xf>
    <xf numFmtId="43" fontId="11" fillId="2" borderId="32" xfId="2" applyFont="1" applyFill="1" applyBorder="1" applyAlignment="1">
      <alignment horizontal="center" vertical="top"/>
    </xf>
    <xf numFmtId="43" fontId="11" fillId="3" borderId="32" xfId="1" applyNumberFormat="1" applyFont="1" applyFill="1" applyBorder="1" applyAlignment="1">
      <alignment horizontal="center" vertical="top"/>
    </xf>
    <xf numFmtId="0" fontId="11" fillId="2" borderId="32" xfId="2" applyNumberFormat="1" applyFont="1" applyFill="1" applyBorder="1" applyAlignment="1">
      <alignment vertical="top" wrapText="1"/>
    </xf>
    <xf numFmtId="43" fontId="10" fillId="0" borderId="40" xfId="1" applyFont="1" applyBorder="1" applyAlignment="1">
      <alignment horizontal="center" vertical="center" wrapText="1"/>
    </xf>
    <xf numFmtId="43" fontId="10" fillId="0" borderId="33" xfId="1" applyFont="1" applyBorder="1" applyAlignment="1">
      <alignment horizontal="center" vertical="center" wrapText="1"/>
    </xf>
    <xf numFmtId="0" fontId="11" fillId="2" borderId="32" xfId="2" quotePrefix="1" applyNumberFormat="1" applyFont="1" applyFill="1" applyBorder="1" applyAlignment="1">
      <alignment wrapText="1"/>
    </xf>
    <xf numFmtId="0" fontId="11" fillId="2" borderId="32" xfId="2" quotePrefix="1" applyNumberFormat="1" applyFont="1" applyFill="1" applyBorder="1" applyAlignment="1"/>
    <xf numFmtId="0" fontId="11" fillId="2" borderId="33" xfId="2" quotePrefix="1" applyNumberFormat="1" applyFont="1" applyFill="1" applyBorder="1" applyAlignment="1"/>
    <xf numFmtId="49" fontId="10" fillId="0" borderId="31" xfId="0" applyNumberFormat="1" applyFont="1" applyBorder="1" applyAlignment="1">
      <alignment horizontal="center" vertical="center"/>
    </xf>
    <xf numFmtId="0" fontId="10" fillId="0" borderId="32" xfId="0" applyFont="1" applyBorder="1" applyAlignment="1">
      <alignment horizontal="center" vertical="center"/>
    </xf>
    <xf numFmtId="43" fontId="10" fillId="0" borderId="32" xfId="0" applyNumberFormat="1" applyFont="1" applyBorder="1" applyAlignment="1">
      <alignment horizontal="center" vertical="center"/>
    </xf>
    <xf numFmtId="165" fontId="10" fillId="0" borderId="32" xfId="0" applyNumberFormat="1" applyFont="1" applyBorder="1" applyAlignment="1">
      <alignment horizontal="center" vertical="center"/>
    </xf>
    <xf numFmtId="0" fontId="10" fillId="0" borderId="33" xfId="0" applyFont="1" applyBorder="1" applyAlignment="1">
      <alignment horizontal="center" vertical="center"/>
    </xf>
    <xf numFmtId="43" fontId="11" fillId="3" borderId="32" xfId="2" applyNumberFormat="1" applyFont="1" applyFill="1" applyBorder="1" applyAlignment="1">
      <alignment horizontal="center"/>
    </xf>
    <xf numFmtId="0" fontId="12" fillId="2" borderId="32" xfId="2" applyNumberFormat="1" applyFont="1" applyFill="1" applyBorder="1" applyAlignment="1">
      <alignment horizontal="justify" vertical="top"/>
    </xf>
    <xf numFmtId="0" fontId="12" fillId="2" borderId="32" xfId="2" applyNumberFormat="1" applyFont="1" applyFill="1" applyBorder="1" applyAlignment="1">
      <alignment horizontal="left" vertical="top" wrapText="1"/>
    </xf>
    <xf numFmtId="0" fontId="11" fillId="2" borderId="32" xfId="2" quotePrefix="1" applyNumberFormat="1" applyFont="1" applyFill="1" applyBorder="1" applyAlignment="1">
      <alignment vertical="top" wrapText="1"/>
    </xf>
    <xf numFmtId="0" fontId="11" fillId="2" borderId="32" xfId="2" quotePrefix="1" applyNumberFormat="1" applyFont="1" applyFill="1" applyBorder="1" applyAlignment="1">
      <alignment vertical="top"/>
    </xf>
    <xf numFmtId="0" fontId="11" fillId="2" borderId="32" xfId="2" applyNumberFormat="1" applyFont="1" applyFill="1" applyBorder="1" applyAlignment="1">
      <alignment vertical="top"/>
    </xf>
    <xf numFmtId="0" fontId="11" fillId="2" borderId="32" xfId="2" applyNumberFormat="1" applyFont="1" applyFill="1" applyBorder="1" applyAlignment="1">
      <alignment horizontal="justify" vertical="top"/>
    </xf>
    <xf numFmtId="0" fontId="11" fillId="2" borderId="32" xfId="2" quotePrefix="1" applyNumberFormat="1" applyFont="1" applyFill="1" applyBorder="1" applyAlignment="1">
      <alignment horizontal="justify" vertical="top"/>
    </xf>
    <xf numFmtId="0" fontId="3" fillId="3" borderId="35" xfId="0" applyFont="1" applyFill="1" applyBorder="1" applyAlignment="1">
      <alignment horizontal="center" vertical="center"/>
    </xf>
    <xf numFmtId="43" fontId="3" fillId="3" borderId="35" xfId="0" applyNumberFormat="1" applyFont="1" applyFill="1" applyBorder="1" applyAlignment="1">
      <alignment horizontal="center" vertical="center"/>
    </xf>
    <xf numFmtId="43" fontId="11" fillId="5" borderId="32" xfId="2" applyNumberFormat="1" applyFont="1" applyFill="1" applyBorder="1" applyAlignment="1">
      <alignment horizontal="center"/>
    </xf>
    <xf numFmtId="43" fontId="10" fillId="5" borderId="32" xfId="1" applyFont="1" applyFill="1" applyBorder="1" applyAlignment="1">
      <alignment horizontal="center" vertical="center" wrapText="1"/>
    </xf>
    <xf numFmtId="43" fontId="10" fillId="5" borderId="33" xfId="1" applyFont="1" applyFill="1" applyBorder="1" applyAlignment="1">
      <alignment horizontal="center" vertical="center" wrapText="1"/>
    </xf>
    <xf numFmtId="165" fontId="11" fillId="2" borderId="32" xfId="1" applyNumberFormat="1" applyFont="1" applyFill="1" applyBorder="1" applyAlignment="1">
      <alignment horizontal="center" vertical="top"/>
    </xf>
    <xf numFmtId="43" fontId="10" fillId="0" borderId="32" xfId="1" applyFont="1" applyBorder="1" applyAlignment="1">
      <alignment horizontal="center" vertical="top" wrapText="1"/>
    </xf>
    <xf numFmtId="43" fontId="10" fillId="0" borderId="33" xfId="1" applyFont="1" applyBorder="1" applyAlignment="1">
      <alignment horizontal="center" vertical="top" wrapText="1"/>
    </xf>
    <xf numFmtId="0" fontId="12" fillId="5" borderId="32" xfId="2" applyNumberFormat="1" applyFont="1" applyFill="1" applyBorder="1" applyAlignment="1">
      <alignment horizontal="left" vertical="top"/>
    </xf>
    <xf numFmtId="0" fontId="12" fillId="2" borderId="27" xfId="2" applyNumberFormat="1" applyFont="1" applyFill="1" applyBorder="1" applyAlignment="1">
      <alignment horizontal="center"/>
    </xf>
    <xf numFmtId="0" fontId="11" fillId="2" borderId="22" xfId="2" quotePrefix="1" applyNumberFormat="1" applyFont="1" applyFill="1" applyBorder="1" applyAlignment="1">
      <alignment vertical="top"/>
    </xf>
    <xf numFmtId="49" fontId="11" fillId="2" borderId="15" xfId="2" applyNumberFormat="1" applyFont="1" applyFill="1" applyBorder="1" applyAlignment="1">
      <alignment horizontal="center" vertical="justify"/>
    </xf>
    <xf numFmtId="0" fontId="11" fillId="2" borderId="17" xfId="2" applyNumberFormat="1" applyFont="1" applyFill="1" applyBorder="1" applyAlignment="1">
      <alignment vertical="top" wrapText="1"/>
    </xf>
    <xf numFmtId="49" fontId="11" fillId="2" borderId="44" xfId="2" applyNumberFormat="1" applyFont="1" applyFill="1" applyBorder="1" applyAlignment="1">
      <alignment horizontal="center" vertical="justify"/>
    </xf>
    <xf numFmtId="49" fontId="13" fillId="5" borderId="56" xfId="2" applyNumberFormat="1" applyFont="1" applyFill="1" applyBorder="1" applyAlignment="1">
      <alignment horizontal="center" vertical="justify"/>
    </xf>
    <xf numFmtId="0" fontId="12" fillId="5" borderId="57" xfId="2" applyNumberFormat="1" applyFont="1" applyFill="1" applyBorder="1" applyAlignment="1">
      <alignment horizontal="center" vertical="top"/>
    </xf>
    <xf numFmtId="43" fontId="11" fillId="5" borderId="57" xfId="2" applyFont="1" applyFill="1" applyBorder="1" applyAlignment="1">
      <alignment horizontal="center"/>
    </xf>
    <xf numFmtId="43" fontId="11" fillId="5" borderId="57" xfId="1" applyNumberFormat="1" applyFont="1" applyFill="1" applyBorder="1" applyAlignment="1">
      <alignment horizontal="center"/>
    </xf>
    <xf numFmtId="165" fontId="11" fillId="5" borderId="57" xfId="1" applyNumberFormat="1" applyFont="1" applyFill="1" applyBorder="1" applyAlignment="1">
      <alignment horizontal="center"/>
    </xf>
    <xf numFmtId="43" fontId="13" fillId="5" borderId="58" xfId="1" applyNumberFormat="1" applyFont="1" applyFill="1" applyBorder="1"/>
    <xf numFmtId="49" fontId="10" fillId="0" borderId="41" xfId="0" applyNumberFormat="1" applyFont="1" applyBorder="1"/>
    <xf numFmtId="0" fontId="10" fillId="0" borderId="42" xfId="0" applyFont="1" applyBorder="1" applyAlignment="1">
      <alignment wrapText="1"/>
    </xf>
    <xf numFmtId="0" fontId="10" fillId="0" borderId="42" xfId="0" applyFont="1" applyBorder="1" applyAlignment="1">
      <alignment horizontal="center"/>
    </xf>
    <xf numFmtId="43" fontId="10" fillId="0" borderId="42" xfId="1" applyNumberFormat="1" applyFont="1" applyBorder="1"/>
    <xf numFmtId="165" fontId="11" fillId="2" borderId="42" xfId="1" applyNumberFormat="1" applyFont="1" applyFill="1" applyBorder="1" applyAlignment="1">
      <alignment horizontal="center"/>
    </xf>
    <xf numFmtId="43" fontId="10" fillId="0" borderId="42" xfId="1" applyFont="1" applyBorder="1"/>
    <xf numFmtId="43" fontId="10" fillId="0" borderId="43" xfId="1" applyFont="1" applyBorder="1"/>
    <xf numFmtId="49" fontId="10" fillId="0" borderId="59" xfId="0" applyNumberFormat="1" applyFont="1" applyBorder="1"/>
    <xf numFmtId="0" fontId="10" fillId="0" borderId="49" xfId="0" applyFont="1" applyBorder="1" applyAlignment="1">
      <alignment wrapText="1"/>
    </xf>
    <xf numFmtId="49" fontId="11" fillId="2" borderId="49" xfId="2" applyNumberFormat="1" applyFont="1" applyFill="1" applyBorder="1" applyAlignment="1">
      <alignment horizontal="center"/>
    </xf>
    <xf numFmtId="43" fontId="10" fillId="0" borderId="49" xfId="1" applyNumberFormat="1" applyFont="1" applyBorder="1"/>
    <xf numFmtId="165" fontId="11" fillId="2" borderId="49" xfId="1" applyNumberFormat="1" applyFont="1" applyFill="1" applyBorder="1" applyAlignment="1">
      <alignment horizontal="center"/>
    </xf>
    <xf numFmtId="43" fontId="10" fillId="0" borderId="49" xfId="1" applyFont="1" applyBorder="1"/>
    <xf numFmtId="43" fontId="10" fillId="0" borderId="60" xfId="1" applyFont="1" applyBorder="1"/>
    <xf numFmtId="49" fontId="11" fillId="2" borderId="41" xfId="2" applyNumberFormat="1" applyFont="1" applyFill="1" applyBorder="1" applyAlignment="1">
      <alignment horizontal="center" vertical="justify"/>
    </xf>
    <xf numFmtId="43" fontId="10" fillId="0" borderId="53" xfId="1" applyFont="1" applyBorder="1" applyAlignment="1">
      <alignment horizontal="center" vertical="center" wrapText="1"/>
    </xf>
    <xf numFmtId="0" fontId="11" fillId="2" borderId="33" xfId="2" applyNumberFormat="1" applyFont="1" applyFill="1" applyBorder="1" applyAlignment="1">
      <alignment wrapText="1"/>
    </xf>
    <xf numFmtId="49" fontId="13" fillId="2" borderId="47" xfId="2" applyNumberFormat="1" applyFont="1" applyFill="1" applyBorder="1" applyAlignment="1">
      <alignment horizontal="center" vertical="justify"/>
    </xf>
    <xf numFmtId="0" fontId="11" fillId="2" borderId="36" xfId="2" applyNumberFormat="1" applyFont="1" applyFill="1" applyBorder="1" applyAlignment="1"/>
    <xf numFmtId="0" fontId="11" fillId="2" borderId="32" xfId="2" applyNumberFormat="1" applyFont="1" applyFill="1" applyBorder="1" applyAlignment="1">
      <alignment wrapText="1"/>
    </xf>
    <xf numFmtId="0" fontId="11" fillId="7" borderId="16" xfId="1" applyNumberFormat="1" applyFont="1" applyFill="1" applyBorder="1" applyAlignment="1">
      <alignment vertical="center"/>
    </xf>
    <xf numFmtId="0" fontId="11" fillId="7" borderId="17" xfId="1" applyNumberFormat="1" applyFont="1" applyFill="1" applyBorder="1" applyAlignment="1">
      <alignment vertical="center"/>
    </xf>
    <xf numFmtId="0" fontId="11" fillId="2" borderId="54" xfId="3" applyNumberFormat="1" applyFont="1" applyFill="1" applyBorder="1" applyAlignment="1">
      <alignment wrapText="1"/>
    </xf>
    <xf numFmtId="0" fontId="11" fillId="2" borderId="45" xfId="3" applyNumberFormat="1" applyFont="1" applyFill="1" applyBorder="1" applyAlignment="1">
      <alignment wrapText="1"/>
    </xf>
    <xf numFmtId="0" fontId="11" fillId="2" borderId="55" xfId="3" applyNumberFormat="1" applyFont="1" applyFill="1" applyBorder="1" applyAlignment="1">
      <alignment wrapText="1"/>
    </xf>
    <xf numFmtId="0" fontId="11" fillId="2" borderId="46" xfId="3" applyNumberFormat="1" applyFont="1" applyFill="1" applyBorder="1" applyAlignment="1">
      <alignment wrapText="1"/>
    </xf>
    <xf numFmtId="0" fontId="11" fillId="2" borderId="33" xfId="2" applyNumberFormat="1" applyFont="1" applyFill="1" applyBorder="1" applyAlignment="1">
      <alignment vertical="top"/>
    </xf>
    <xf numFmtId="49" fontId="11" fillId="2" borderId="41" xfId="2" applyNumberFormat="1" applyFont="1" applyFill="1" applyBorder="1" applyAlignment="1">
      <alignment horizontal="center" vertical="top"/>
    </xf>
    <xf numFmtId="0" fontId="11" fillId="2" borderId="43" xfId="2" applyNumberFormat="1" applyFont="1" applyFill="1" applyBorder="1" applyAlignment="1">
      <alignment vertical="top"/>
    </xf>
    <xf numFmtId="0" fontId="12" fillId="2" borderId="61" xfId="2" quotePrefix="1" applyNumberFormat="1" applyFont="1" applyFill="1" applyBorder="1" applyAlignment="1">
      <alignment horizontal="center"/>
    </xf>
    <xf numFmtId="0" fontId="12" fillId="2" borderId="52" xfId="2" applyNumberFormat="1" applyFont="1" applyFill="1" applyBorder="1" applyAlignment="1">
      <alignment horizontal="center"/>
    </xf>
    <xf numFmtId="43" fontId="10" fillId="0" borderId="53" xfId="1" applyFont="1" applyBorder="1"/>
    <xf numFmtId="0" fontId="12" fillId="2" borderId="52" xfId="2" applyNumberFormat="1" applyFont="1" applyFill="1" applyBorder="1" applyAlignment="1">
      <alignment horizontal="justify" vertical="top"/>
    </xf>
    <xf numFmtId="49" fontId="13" fillId="2" borderId="37" xfId="2" applyNumberFormat="1" applyFont="1" applyFill="1" applyBorder="1" applyAlignment="1">
      <alignment horizontal="center" vertical="justify"/>
    </xf>
    <xf numFmtId="49" fontId="13" fillId="2" borderId="41" xfId="2" applyNumberFormat="1" applyFont="1" applyFill="1" applyBorder="1" applyAlignment="1">
      <alignment horizontal="center" vertical="justify"/>
    </xf>
    <xf numFmtId="0" fontId="12" fillId="2" borderId="50" xfId="2" applyNumberFormat="1" applyFont="1" applyFill="1" applyBorder="1" applyAlignment="1">
      <alignment horizontal="left"/>
    </xf>
    <xf numFmtId="43" fontId="13" fillId="2" borderId="16" xfId="2" applyFont="1" applyFill="1" applyBorder="1" applyAlignment="1">
      <alignment horizontal="center"/>
    </xf>
    <xf numFmtId="43" fontId="13" fillId="3" borderId="16" xfId="1" applyNumberFormat="1" applyFont="1" applyFill="1" applyBorder="1" applyAlignment="1">
      <alignment horizontal="center"/>
    </xf>
    <xf numFmtId="165" fontId="11" fillId="2" borderId="16" xfId="1" applyNumberFormat="1" applyFont="1" applyFill="1" applyBorder="1" applyAlignment="1">
      <alignment horizontal="center"/>
    </xf>
    <xf numFmtId="43" fontId="10" fillId="0" borderId="17" xfId="1" applyFont="1" applyBorder="1"/>
    <xf numFmtId="43" fontId="10" fillId="0" borderId="51" xfId="1" applyFont="1" applyBorder="1"/>
    <xf numFmtId="0" fontId="13" fillId="2" borderId="61" xfId="2" quotePrefix="1" applyNumberFormat="1" applyFont="1" applyFill="1" applyBorder="1" applyAlignment="1">
      <alignment horizontal="left"/>
    </xf>
    <xf numFmtId="0" fontId="12" fillId="3" borderId="52" xfId="2" quotePrefix="1" applyNumberFormat="1" applyFont="1" applyFill="1" applyBorder="1" applyAlignment="1">
      <alignment horizontal="center"/>
    </xf>
    <xf numFmtId="0" fontId="12" fillId="3" borderId="54" xfId="2" applyNumberFormat="1" applyFont="1" applyFill="1" applyBorder="1" applyAlignment="1">
      <alignment horizontal="center"/>
    </xf>
    <xf numFmtId="43" fontId="13" fillId="3" borderId="45" xfId="2" applyFont="1" applyFill="1" applyBorder="1" applyAlignment="1">
      <alignment horizontal="center"/>
    </xf>
    <xf numFmtId="43" fontId="13" fillId="3" borderId="45" xfId="1" applyNumberFormat="1" applyFont="1" applyFill="1" applyBorder="1" applyAlignment="1">
      <alignment horizontal="center"/>
    </xf>
    <xf numFmtId="165" fontId="11" fillId="3" borderId="45" xfId="1" applyNumberFormat="1" applyFont="1" applyFill="1" applyBorder="1" applyAlignment="1">
      <alignment horizontal="center"/>
    </xf>
    <xf numFmtId="43" fontId="10" fillId="0" borderId="45" xfId="1" applyFont="1" applyBorder="1"/>
    <xf numFmtId="49" fontId="13" fillId="2" borderId="31" xfId="2" applyNumberFormat="1" applyFont="1" applyFill="1" applyBorder="1" applyAlignment="1">
      <alignment horizontal="center"/>
    </xf>
    <xf numFmtId="49" fontId="13" fillId="2" borderId="41" xfId="2" applyNumberFormat="1" applyFont="1" applyFill="1" applyBorder="1" applyAlignment="1">
      <alignment horizontal="center"/>
    </xf>
    <xf numFmtId="49" fontId="24" fillId="6" borderId="31" xfId="0" applyNumberFormat="1" applyFont="1" applyFill="1" applyBorder="1" applyAlignment="1">
      <alignment horizontal="center" vertical="center"/>
    </xf>
    <xf numFmtId="0" fontId="12" fillId="2" borderId="52" xfId="2" quotePrefix="1" applyNumberFormat="1" applyFont="1" applyFill="1" applyBorder="1" applyAlignment="1">
      <alignment horizontal="center"/>
    </xf>
    <xf numFmtId="43" fontId="11" fillId="2" borderId="45" xfId="2" applyFont="1" applyFill="1" applyBorder="1" applyAlignment="1">
      <alignment horizontal="center"/>
    </xf>
    <xf numFmtId="43" fontId="11" fillId="3" borderId="45" xfId="1" applyNumberFormat="1" applyFont="1" applyFill="1" applyBorder="1" applyAlignment="1">
      <alignment horizontal="center"/>
    </xf>
    <xf numFmtId="165" fontId="11" fillId="2" borderId="45" xfId="1" applyNumberFormat="1" applyFont="1" applyFill="1" applyBorder="1" applyAlignment="1">
      <alignment horizontal="center"/>
    </xf>
    <xf numFmtId="0" fontId="12" fillId="2" borderId="26" xfId="2" quotePrefix="1" applyNumberFormat="1" applyFont="1" applyFill="1" applyBorder="1" applyAlignment="1">
      <alignment horizontal="center"/>
    </xf>
    <xf numFmtId="0" fontId="12" fillId="2" borderId="18" xfId="2" applyNumberFormat="1" applyFont="1" applyFill="1" applyBorder="1" applyAlignment="1">
      <alignment horizontal="center"/>
    </xf>
    <xf numFmtId="0" fontId="12" fillId="2" borderId="18" xfId="2" applyNumberFormat="1" applyFont="1" applyFill="1" applyBorder="1" applyAlignment="1">
      <alignment horizontal="justify" vertical="top"/>
    </xf>
    <xf numFmtId="49" fontId="10" fillId="0" borderId="34" xfId="0" applyNumberFormat="1" applyFont="1" applyBorder="1" applyAlignment="1">
      <alignment vertical="top"/>
    </xf>
    <xf numFmtId="0" fontId="10" fillId="0" borderId="35" xfId="0" applyFont="1" applyBorder="1" applyAlignment="1">
      <alignment wrapText="1"/>
    </xf>
    <xf numFmtId="165" fontId="13" fillId="5" borderId="56" xfId="1" applyNumberFormat="1" applyFont="1" applyFill="1" applyBorder="1" applyAlignment="1">
      <alignment horizontal="left" vertical="justify"/>
    </xf>
    <xf numFmtId="0" fontId="12" fillId="5" borderId="57" xfId="2" applyNumberFormat="1" applyFont="1" applyFill="1" applyBorder="1" applyAlignment="1">
      <alignment horizontal="left"/>
    </xf>
    <xf numFmtId="0" fontId="11" fillId="5" borderId="57" xfId="3" applyFont="1" applyFill="1" applyBorder="1" applyAlignment="1">
      <alignment horizontal="center"/>
    </xf>
    <xf numFmtId="43" fontId="11" fillId="5" borderId="57" xfId="1" applyFont="1" applyFill="1" applyBorder="1" applyAlignment="1">
      <alignment horizontal="center"/>
    </xf>
    <xf numFmtId="43" fontId="10" fillId="5" borderId="57" xfId="1" applyFont="1" applyFill="1" applyBorder="1"/>
    <xf numFmtId="43" fontId="10" fillId="5" borderId="58" xfId="1" applyFont="1" applyFill="1" applyBorder="1"/>
    <xf numFmtId="43" fontId="13" fillId="3" borderId="49" xfId="1" applyFont="1" applyFill="1" applyBorder="1" applyAlignment="1">
      <alignment horizontal="left"/>
    </xf>
    <xf numFmtId="165" fontId="13" fillId="2" borderId="49" xfId="1" applyNumberFormat="1" applyFont="1" applyFill="1" applyBorder="1" applyAlignment="1">
      <alignment horizontal="center"/>
    </xf>
    <xf numFmtId="43" fontId="16" fillId="0" borderId="49" xfId="1" applyFont="1" applyBorder="1"/>
    <xf numFmtId="0" fontId="17" fillId="6" borderId="38" xfId="0" applyFont="1" applyFill="1" applyBorder="1"/>
    <xf numFmtId="49" fontId="11" fillId="2" borderId="34" xfId="2" applyNumberFormat="1" applyFont="1" applyFill="1" applyBorder="1" applyAlignment="1">
      <alignment horizontal="center" vertical="top"/>
    </xf>
    <xf numFmtId="0" fontId="11" fillId="0" borderId="35" xfId="3" applyFont="1" applyFill="1" applyBorder="1" applyAlignment="1">
      <alignment horizontal="center"/>
    </xf>
    <xf numFmtId="43" fontId="10" fillId="0" borderId="35" xfId="1" applyFont="1" applyBorder="1" applyAlignment="1"/>
    <xf numFmtId="43" fontId="10" fillId="0" borderId="36" xfId="1" applyFont="1" applyBorder="1" applyAlignment="1"/>
    <xf numFmtId="43" fontId="16" fillId="0" borderId="40" xfId="1" applyFont="1" applyBorder="1"/>
    <xf numFmtId="0" fontId="11" fillId="2" borderId="43" xfId="2" applyNumberFormat="1" applyFont="1" applyFill="1" applyBorder="1" applyAlignment="1">
      <alignment vertical="top" wrapText="1"/>
    </xf>
    <xf numFmtId="49" fontId="3" fillId="3" borderId="34" xfId="0" applyNumberFormat="1" applyFont="1" applyFill="1" applyBorder="1" applyAlignment="1">
      <alignment horizontal="center" vertical="top"/>
    </xf>
    <xf numFmtId="0" fontId="3" fillId="3" borderId="35" xfId="0" applyFont="1" applyFill="1" applyBorder="1" applyAlignment="1">
      <alignment vertical="justify" wrapText="1"/>
    </xf>
    <xf numFmtId="165" fontId="11" fillId="3" borderId="35" xfId="1" applyNumberFormat="1" applyFont="1" applyFill="1" applyBorder="1" applyAlignment="1">
      <alignment horizontal="center"/>
    </xf>
    <xf numFmtId="0" fontId="11" fillId="2" borderId="32" xfId="2" applyNumberFormat="1" applyFont="1" applyFill="1" applyBorder="1" applyAlignment="1">
      <alignment wrapText="1"/>
    </xf>
    <xf numFmtId="0" fontId="11" fillId="2" borderId="42" xfId="2" applyNumberFormat="1" applyFont="1" applyFill="1" applyBorder="1" applyAlignment="1"/>
    <xf numFmtId="0" fontId="11" fillId="2" borderId="43" xfId="2" applyNumberFormat="1" applyFont="1" applyFill="1" applyBorder="1" applyAlignment="1"/>
    <xf numFmtId="0" fontId="12" fillId="2" borderId="52" xfId="2" applyNumberFormat="1" applyFont="1" applyFill="1" applyBorder="1"/>
    <xf numFmtId="165" fontId="11" fillId="2" borderId="53" xfId="1" applyNumberFormat="1" applyFont="1" applyFill="1" applyBorder="1" applyAlignment="1">
      <alignment horizontal="center"/>
    </xf>
    <xf numFmtId="0" fontId="12" fillId="2" borderId="45" xfId="2" applyNumberFormat="1" applyFont="1" applyFill="1" applyBorder="1" applyAlignment="1">
      <alignment horizontal="center"/>
    </xf>
    <xf numFmtId="0" fontId="12" fillId="5" borderId="52" xfId="2" applyNumberFormat="1" applyFont="1" applyFill="1" applyBorder="1" applyAlignment="1">
      <alignment horizontal="center"/>
    </xf>
    <xf numFmtId="43" fontId="11" fillId="5" borderId="0" xfId="2" applyFont="1" applyFill="1" applyBorder="1" applyAlignment="1">
      <alignment horizontal="center"/>
    </xf>
    <xf numFmtId="43" fontId="11" fillId="5" borderId="0" xfId="1" applyNumberFormat="1" applyFont="1" applyFill="1" applyBorder="1" applyAlignment="1">
      <alignment horizontal="center"/>
    </xf>
    <xf numFmtId="165" fontId="11" fillId="5" borderId="0" xfId="1" applyNumberFormat="1" applyFont="1" applyFill="1" applyBorder="1" applyAlignment="1">
      <alignment horizontal="center"/>
    </xf>
    <xf numFmtId="43" fontId="11" fillId="5" borderId="53" xfId="1" applyNumberFormat="1" applyFont="1" applyFill="1" applyBorder="1" applyAlignment="1">
      <alignment horizontal="center"/>
    </xf>
    <xf numFmtId="49" fontId="3" fillId="3" borderId="18" xfId="0" applyNumberFormat="1" applyFont="1" applyFill="1" applyBorder="1" applyAlignment="1">
      <alignment horizontal="center" vertical="center"/>
    </xf>
    <xf numFmtId="0" fontId="3" fillId="3" borderId="0" xfId="0" applyFont="1" applyFill="1" applyBorder="1" applyAlignment="1">
      <alignment vertical="center" wrapText="1"/>
    </xf>
    <xf numFmtId="0" fontId="3" fillId="3" borderId="0" xfId="0" applyFont="1" applyFill="1" applyBorder="1" applyAlignment="1">
      <alignment horizontal="center" vertical="center"/>
    </xf>
    <xf numFmtId="43" fontId="3" fillId="3" borderId="0" xfId="0" applyNumberFormat="1" applyFont="1" applyFill="1" applyBorder="1" applyAlignment="1">
      <alignment horizontal="center" vertical="center"/>
    </xf>
    <xf numFmtId="165" fontId="10" fillId="3" borderId="0" xfId="1" applyNumberFormat="1" applyFont="1" applyFill="1" applyBorder="1"/>
    <xf numFmtId="43" fontId="10" fillId="3" borderId="0" xfId="1" applyFont="1" applyFill="1" applyBorder="1"/>
    <xf numFmtId="43" fontId="10" fillId="3" borderId="19" xfId="1" applyFont="1" applyFill="1" applyBorder="1"/>
    <xf numFmtId="0" fontId="12" fillId="2" borderId="52" xfId="2" applyNumberFormat="1" applyFont="1" applyFill="1" applyBorder="1" applyAlignment="1">
      <alignment horizontal="left"/>
    </xf>
    <xf numFmtId="0" fontId="13" fillId="2" borderId="43" xfId="2" applyNumberFormat="1" applyFont="1" applyFill="1" applyBorder="1" applyAlignment="1"/>
    <xf numFmtId="0" fontId="11" fillId="2" borderId="32" xfId="2" applyNumberFormat="1" applyFont="1" applyFill="1" applyBorder="1" applyAlignment="1">
      <alignment vertical="top" wrapText="1"/>
    </xf>
    <xf numFmtId="0" fontId="27" fillId="0" borderId="0" xfId="4" applyFont="1"/>
    <xf numFmtId="0" fontId="11" fillId="2" borderId="32" xfId="2" applyNumberFormat="1" applyFont="1" applyFill="1" applyBorder="1" applyAlignment="1">
      <alignment vertical="top" wrapText="1"/>
    </xf>
    <xf numFmtId="0" fontId="11" fillId="2" borderId="32" xfId="2" applyNumberFormat="1" applyFont="1" applyFill="1" applyBorder="1" applyAlignment="1">
      <alignment vertical="top" wrapText="1"/>
    </xf>
    <xf numFmtId="0" fontId="11" fillId="0" borderId="42" xfId="3" applyFont="1" applyBorder="1" applyAlignment="1">
      <alignment horizontal="left" wrapText="1"/>
    </xf>
    <xf numFmtId="0" fontId="11" fillId="0" borderId="42" xfId="3" applyFont="1" applyFill="1" applyBorder="1" applyAlignment="1">
      <alignment horizontal="center"/>
    </xf>
    <xf numFmtId="43" fontId="11" fillId="3" borderId="42" xfId="1" applyNumberFormat="1" applyFont="1" applyFill="1" applyBorder="1" applyAlignment="1">
      <alignment horizontal="center"/>
    </xf>
    <xf numFmtId="43" fontId="10" fillId="0" borderId="42" xfId="1" applyFont="1" applyBorder="1" applyAlignment="1"/>
    <xf numFmtId="43" fontId="10" fillId="0" borderId="43" xfId="1" applyFont="1" applyBorder="1" applyAlignment="1"/>
    <xf numFmtId="0" fontId="10" fillId="0" borderId="45" xfId="0" applyFont="1" applyBorder="1"/>
    <xf numFmtId="0" fontId="26" fillId="0" borderId="0" xfId="4" applyFont="1" applyAlignment="1">
      <alignment horizontal="center" vertical="center"/>
    </xf>
    <xf numFmtId="0" fontId="28" fillId="0" borderId="0" xfId="4" applyFont="1" applyAlignment="1">
      <alignment horizontal="center" vertical="center"/>
    </xf>
    <xf numFmtId="0" fontId="29" fillId="0" borderId="0" xfId="4" applyFont="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0" fontId="11" fillId="2" borderId="52" xfId="2" applyNumberFormat="1" applyFont="1" applyFill="1" applyBorder="1" applyAlignment="1">
      <alignment horizontal="left" wrapText="1"/>
    </xf>
    <xf numFmtId="0" fontId="11" fillId="2" borderId="0" xfId="2" applyNumberFormat="1" applyFont="1" applyFill="1" applyBorder="1" applyAlignment="1">
      <alignment horizontal="left" wrapText="1"/>
    </xf>
    <xf numFmtId="0" fontId="11" fillId="2" borderId="53" xfId="2" applyNumberFormat="1" applyFont="1" applyFill="1" applyBorder="1" applyAlignment="1">
      <alignment horizontal="left" wrapText="1"/>
    </xf>
    <xf numFmtId="0" fontId="11" fillId="2" borderId="52" xfId="2" applyNumberFormat="1" applyFont="1" applyFill="1" applyBorder="1" applyAlignment="1">
      <alignment wrapText="1"/>
    </xf>
    <xf numFmtId="0" fontId="11" fillId="2" borderId="0" xfId="2" applyNumberFormat="1" applyFont="1" applyFill="1" applyBorder="1" applyAlignment="1">
      <alignment wrapText="1"/>
    </xf>
    <xf numFmtId="0" fontId="11" fillId="2" borderId="53" xfId="2" applyNumberFormat="1" applyFont="1" applyFill="1" applyBorder="1" applyAlignment="1">
      <alignment wrapText="1"/>
    </xf>
    <xf numFmtId="0" fontId="11" fillId="2" borderId="32" xfId="2" applyNumberFormat="1" applyFont="1" applyFill="1" applyBorder="1" applyAlignment="1">
      <alignment wrapText="1"/>
    </xf>
    <xf numFmtId="0" fontId="11" fillId="2" borderId="32" xfId="2" applyNumberFormat="1" applyFont="1" applyFill="1" applyBorder="1" applyAlignment="1">
      <alignment horizontal="left" wrapText="1"/>
    </xf>
    <xf numFmtId="0" fontId="11" fillId="2" borderId="42" xfId="2" applyNumberFormat="1" applyFont="1" applyFill="1" applyBorder="1" applyAlignment="1">
      <alignment horizontal="left" wrapText="1"/>
    </xf>
    <xf numFmtId="0" fontId="11" fillId="2" borderId="54" xfId="2" applyNumberFormat="1" applyFont="1" applyFill="1" applyBorder="1" applyAlignment="1">
      <alignment horizontal="left" wrapText="1"/>
    </xf>
    <xf numFmtId="0" fontId="11" fillId="2" borderId="45" xfId="2" applyNumberFormat="1" applyFont="1" applyFill="1" applyBorder="1" applyAlignment="1">
      <alignment horizontal="left" wrapText="1"/>
    </xf>
    <xf numFmtId="0" fontId="11" fillId="2" borderId="55" xfId="2" applyNumberFormat="1" applyFont="1" applyFill="1" applyBorder="1" applyAlignment="1">
      <alignment horizontal="left" wrapText="1"/>
    </xf>
    <xf numFmtId="0" fontId="11" fillId="2" borderId="0" xfId="2" quotePrefix="1" applyNumberFormat="1" applyFont="1" applyFill="1" applyBorder="1" applyAlignment="1">
      <alignment horizontal="left" vertical="top" wrapText="1"/>
    </xf>
    <xf numFmtId="0" fontId="11" fillId="2" borderId="53" xfId="2" quotePrefix="1" applyNumberFormat="1" applyFont="1" applyFill="1" applyBorder="1" applyAlignment="1">
      <alignment horizontal="left" vertical="top" wrapText="1"/>
    </xf>
    <xf numFmtId="0" fontId="11" fillId="2" borderId="45" xfId="2" quotePrefix="1" applyNumberFormat="1" applyFont="1" applyFill="1" applyBorder="1" applyAlignment="1">
      <alignment horizontal="left" vertical="top" wrapText="1"/>
    </xf>
    <xf numFmtId="0" fontId="11" fillId="2" borderId="55" xfId="2" quotePrefix="1" applyNumberFormat="1" applyFont="1" applyFill="1" applyBorder="1" applyAlignment="1">
      <alignment horizontal="left" vertical="top" wrapText="1"/>
    </xf>
    <xf numFmtId="49" fontId="19" fillId="0" borderId="0" xfId="0" applyNumberFormat="1" applyFont="1" applyAlignment="1">
      <alignment horizontal="center"/>
    </xf>
    <xf numFmtId="0" fontId="11" fillId="2" borderId="50" xfId="2" applyNumberFormat="1" applyFont="1" applyFill="1" applyBorder="1" applyAlignment="1">
      <alignment horizontal="left" vertical="top" wrapText="1"/>
    </xf>
    <xf numFmtId="0" fontId="11" fillId="2" borderId="16" xfId="2" applyNumberFormat="1" applyFont="1" applyFill="1" applyBorder="1" applyAlignment="1">
      <alignment horizontal="left" vertical="top" wrapText="1"/>
    </xf>
    <xf numFmtId="0" fontId="11" fillId="2" borderId="51" xfId="2" applyNumberFormat="1" applyFont="1" applyFill="1" applyBorder="1" applyAlignment="1">
      <alignment horizontal="left" vertical="top" wrapText="1"/>
    </xf>
    <xf numFmtId="0" fontId="11" fillId="2" borderId="52" xfId="2" applyNumberFormat="1" applyFont="1" applyFill="1" applyBorder="1" applyAlignment="1">
      <alignment horizontal="left" vertical="top" wrapText="1"/>
    </xf>
    <xf numFmtId="0" fontId="11" fillId="2" borderId="0" xfId="2" applyNumberFormat="1" applyFont="1" applyFill="1" applyBorder="1" applyAlignment="1">
      <alignment horizontal="left" vertical="top" wrapText="1"/>
    </xf>
    <xf numFmtId="0" fontId="11" fillId="2" borderId="53" xfId="2" applyNumberFormat="1" applyFont="1" applyFill="1" applyBorder="1" applyAlignment="1">
      <alignment horizontal="left" vertical="top" wrapText="1"/>
    </xf>
    <xf numFmtId="0" fontId="11" fillId="2" borderId="32" xfId="2" applyNumberFormat="1" applyFont="1" applyFill="1" applyBorder="1" applyAlignment="1">
      <alignment vertical="top" wrapText="1"/>
    </xf>
    <xf numFmtId="0" fontId="11" fillId="2" borderId="42" xfId="2" applyNumberFormat="1" applyFont="1" applyFill="1" applyBorder="1" applyAlignment="1">
      <alignment vertical="top" wrapText="1"/>
    </xf>
    <xf numFmtId="0" fontId="11" fillId="2" borderId="38" xfId="2" applyNumberFormat="1" applyFont="1" applyFill="1" applyBorder="1" applyAlignment="1">
      <alignment horizontal="left" wrapText="1"/>
    </xf>
    <xf numFmtId="0" fontId="11" fillId="7" borderId="16" xfId="1" applyNumberFormat="1" applyFont="1" applyFill="1" applyBorder="1" applyAlignment="1">
      <alignment horizontal="left" vertical="center" wrapText="1"/>
    </xf>
    <xf numFmtId="0" fontId="11" fillId="7" borderId="51" xfId="1" applyNumberFormat="1" applyFont="1" applyFill="1" applyBorder="1" applyAlignment="1">
      <alignment horizontal="left" vertical="center" wrapText="1"/>
    </xf>
    <xf numFmtId="0" fontId="11" fillId="0" borderId="52" xfId="0" applyFont="1" applyBorder="1" applyAlignment="1">
      <alignment horizontal="left" vertical="center" wrapText="1"/>
    </xf>
    <xf numFmtId="0" fontId="11" fillId="0" borderId="0" xfId="0" applyFont="1" applyBorder="1" applyAlignment="1">
      <alignment horizontal="left" vertical="center" wrapText="1"/>
    </xf>
    <xf numFmtId="0" fontId="11" fillId="0" borderId="53" xfId="0" applyFont="1" applyBorder="1" applyAlignment="1">
      <alignment horizontal="left" vertical="center" wrapText="1"/>
    </xf>
    <xf numFmtId="0" fontId="11" fillId="2" borderId="52" xfId="3" applyNumberFormat="1" applyFont="1" applyFill="1" applyBorder="1" applyAlignment="1">
      <alignment horizontal="left" wrapText="1"/>
    </xf>
    <xf numFmtId="0" fontId="11" fillId="2" borderId="0" xfId="3" applyNumberFormat="1" applyFont="1" applyFill="1" applyBorder="1" applyAlignment="1">
      <alignment horizontal="left" wrapText="1"/>
    </xf>
    <xf numFmtId="0" fontId="11" fillId="2" borderId="53" xfId="3" applyNumberFormat="1" applyFont="1" applyFill="1" applyBorder="1" applyAlignment="1">
      <alignment horizontal="left" wrapText="1"/>
    </xf>
    <xf numFmtId="0" fontId="13" fillId="2" borderId="54" xfId="2" applyNumberFormat="1" applyFont="1" applyFill="1" applyBorder="1" applyAlignment="1">
      <alignment horizontal="left" wrapText="1"/>
    </xf>
    <xf numFmtId="0" fontId="13" fillId="2" borderId="45" xfId="2" applyNumberFormat="1" applyFont="1" applyFill="1" applyBorder="1" applyAlignment="1">
      <alignment horizontal="left" wrapText="1"/>
    </xf>
    <xf numFmtId="0" fontId="13" fillId="2" borderId="55" xfId="2" applyNumberFormat="1" applyFont="1" applyFill="1" applyBorder="1" applyAlignment="1">
      <alignment horizontal="left" wrapText="1"/>
    </xf>
    <xf numFmtId="0" fontId="11" fillId="2" borderId="54" xfId="2" applyNumberFormat="1" applyFont="1" applyFill="1" applyBorder="1" applyAlignment="1">
      <alignment horizontal="left" vertical="top" wrapText="1"/>
    </xf>
    <xf numFmtId="0" fontId="11" fillId="2" borderId="45" xfId="2" applyNumberFormat="1" applyFont="1" applyFill="1" applyBorder="1" applyAlignment="1">
      <alignment horizontal="left" vertical="top" wrapText="1"/>
    </xf>
    <xf numFmtId="0" fontId="11" fillId="2" borderId="55" xfId="2" applyNumberFormat="1" applyFont="1" applyFill="1" applyBorder="1" applyAlignment="1">
      <alignment horizontal="left" vertical="top" wrapText="1"/>
    </xf>
    <xf numFmtId="0" fontId="11" fillId="0" borderId="52" xfId="3" applyFont="1" applyBorder="1" applyAlignment="1">
      <alignment horizontal="left" wrapText="1"/>
    </xf>
    <xf numFmtId="0" fontId="11" fillId="0" borderId="0" xfId="3" applyFont="1" applyBorder="1" applyAlignment="1">
      <alignment horizontal="left" wrapText="1"/>
    </xf>
    <xf numFmtId="0" fontId="11" fillId="0" borderId="53" xfId="3" applyFont="1" applyBorder="1" applyAlignment="1">
      <alignment horizontal="left" wrapText="1"/>
    </xf>
    <xf numFmtId="0" fontId="11" fillId="0" borderId="62" xfId="3" applyFont="1" applyBorder="1" applyAlignment="1">
      <alignment horizontal="left" wrapText="1"/>
    </xf>
    <xf numFmtId="0" fontId="11" fillId="0" borderId="21" xfId="3" applyFont="1" applyBorder="1" applyAlignment="1">
      <alignment horizontal="left" wrapText="1"/>
    </xf>
    <xf numFmtId="0" fontId="11" fillId="0" borderId="30" xfId="3" applyFont="1" applyBorder="1" applyAlignment="1">
      <alignment horizontal="left" wrapText="1"/>
    </xf>
    <xf numFmtId="0" fontId="13" fillId="2" borderId="62" xfId="2" applyNumberFormat="1" applyFont="1" applyFill="1" applyBorder="1" applyAlignment="1">
      <alignment horizontal="left" wrapText="1"/>
    </xf>
    <xf numFmtId="0" fontId="13" fillId="2" borderId="21" xfId="2" applyNumberFormat="1" applyFont="1" applyFill="1" applyBorder="1" applyAlignment="1">
      <alignment horizontal="left" wrapText="1"/>
    </xf>
    <xf numFmtId="0" fontId="13" fillId="2" borderId="30" xfId="2" applyNumberFormat="1" applyFont="1" applyFill="1" applyBorder="1" applyAlignment="1">
      <alignment horizontal="left" wrapText="1"/>
    </xf>
    <xf numFmtId="0" fontId="11" fillId="2" borderId="31" xfId="2" applyNumberFormat="1" applyFont="1" applyFill="1" applyBorder="1" applyAlignment="1">
      <alignment horizontal="left" wrapText="1"/>
    </xf>
    <xf numFmtId="0" fontId="11" fillId="2" borderId="34" xfId="2" applyNumberFormat="1" applyFont="1" applyFill="1" applyBorder="1" applyAlignment="1">
      <alignment horizontal="left" wrapText="1"/>
    </xf>
    <xf numFmtId="0" fontId="11" fillId="2" borderId="35" xfId="2" applyNumberFormat="1" applyFont="1" applyFill="1" applyBorder="1" applyAlignment="1">
      <alignment horizontal="left" wrapText="1"/>
    </xf>
  </cellXfs>
  <cellStyles count="5">
    <cellStyle name="Comma" xfId="1" builtinId="3"/>
    <cellStyle name="Comma 2" xfId="2"/>
    <cellStyle name="Normal" xfId="0" builtinId="0"/>
    <cellStyle name="Normal 2" xfId="3"/>
    <cellStyle name="Normal 4"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582705</xdr:colOff>
      <xdr:row>53</xdr:row>
      <xdr:rowOff>11206</xdr:rowOff>
    </xdr:to>
    <xdr:sp macro="" textlink="">
      <xdr:nvSpPr>
        <xdr:cNvPr id="2" name="TextBox 1"/>
        <xdr:cNvSpPr txBox="1"/>
      </xdr:nvSpPr>
      <xdr:spPr>
        <a:xfrm>
          <a:off x="0" y="0"/>
          <a:ext cx="5459505" cy="893613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600" b="1"/>
        </a:p>
        <a:p>
          <a:pPr algn="r"/>
          <a:r>
            <a:rPr lang="en-US" sz="1600" b="1"/>
            <a:t>BILL OF QUANTITIES</a:t>
          </a:r>
        </a:p>
        <a:p>
          <a:pPr algn="r"/>
          <a:endParaRPr lang="en-US" sz="1600" b="1"/>
        </a:p>
        <a:p>
          <a:pPr algn="r"/>
          <a:r>
            <a:rPr lang="en-US" sz="1600" b="1"/>
            <a:t>PROJECT: DH. KUDAHUVADHOO SCHOOLE</a:t>
          </a:r>
        </a:p>
        <a:p>
          <a:pPr algn="r"/>
          <a:r>
            <a:rPr lang="en-US" sz="1600" b="1"/>
            <a:t>CLIENT: MINISTRY OF EDUCATION</a:t>
          </a:r>
        </a:p>
        <a:p>
          <a:pPr algn="r"/>
          <a:r>
            <a:rPr lang="en-US" sz="1600" b="1"/>
            <a:t>DATE:FEBRUARY 2017</a:t>
          </a:r>
        </a:p>
        <a:p>
          <a:pPr algn="r"/>
          <a:r>
            <a:rPr lang="en-US" sz="1600" b="1">
              <a:solidFill>
                <a:sysClr val="windowText" lastClr="000000"/>
              </a:solidFill>
            </a:rPr>
            <a:t>QS: SHAFEEULLA</a:t>
          </a:r>
        </a:p>
      </xdr:txBody>
    </xdr:sp>
    <xdr:clientData/>
  </xdr:twoCellAnchor>
  <xdr:twoCellAnchor editAs="oneCell">
    <xdr:from>
      <xdr:col>6</xdr:col>
      <xdr:colOff>381000</xdr:colOff>
      <xdr:row>24</xdr:row>
      <xdr:rowOff>123264</xdr:rowOff>
    </xdr:from>
    <xdr:to>
      <xdr:col>8</xdr:col>
      <xdr:colOff>280146</xdr:colOff>
      <xdr:row>38</xdr:row>
      <xdr:rowOff>150095</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38600" y="4352364"/>
          <a:ext cx="1118346" cy="229378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6:I19"/>
  <sheetViews>
    <sheetView view="pageBreakPreview" topLeftCell="A13" zoomScale="85" zoomScaleSheetLayoutView="85" workbookViewId="0">
      <selection activeCell="K56" sqref="K56"/>
    </sheetView>
  </sheetViews>
  <sheetFormatPr defaultRowHeight="12.75" x14ac:dyDescent="0.2"/>
  <cols>
    <col min="1" max="16384" width="9.140625" style="566"/>
  </cols>
  <sheetData>
    <row r="16" spans="1:9" ht="26.25" x14ac:dyDescent="0.2">
      <c r="A16" s="575" t="s">
        <v>410</v>
      </c>
      <c r="B16" s="575"/>
      <c r="C16" s="575"/>
      <c r="D16" s="575"/>
      <c r="E16" s="575"/>
      <c r="F16" s="575"/>
      <c r="G16" s="575"/>
      <c r="H16" s="575"/>
      <c r="I16" s="575"/>
    </row>
    <row r="17" spans="1:9" ht="24" customHeight="1" x14ac:dyDescent="0.2">
      <c r="A17" s="576" t="s">
        <v>487</v>
      </c>
      <c r="B17" s="576"/>
      <c r="C17" s="576"/>
      <c r="D17" s="576"/>
      <c r="E17" s="576"/>
      <c r="F17" s="576"/>
      <c r="G17" s="576"/>
      <c r="H17" s="576"/>
      <c r="I17" s="576"/>
    </row>
    <row r="19" spans="1:9" ht="15" x14ac:dyDescent="0.25">
      <c r="A19" s="577"/>
      <c r="B19" s="577"/>
      <c r="C19" s="577"/>
      <c r="D19" s="577"/>
      <c r="E19" s="577"/>
      <c r="F19" s="577"/>
      <c r="G19" s="577"/>
      <c r="H19" s="577"/>
      <c r="I19" s="577"/>
    </row>
  </sheetData>
  <mergeCells count="3">
    <mergeCell ref="A16:I16"/>
    <mergeCell ref="A17:I17"/>
    <mergeCell ref="A19:I19"/>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election activeCell="F7" sqref="F7"/>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578" t="s">
        <v>471</v>
      </c>
      <c r="B1" s="578"/>
      <c r="C1" s="578"/>
    </row>
    <row r="2" spans="1:6" ht="15.75" x14ac:dyDescent="0.25">
      <c r="A2" s="579" t="s">
        <v>64</v>
      </c>
      <c r="B2" s="579"/>
      <c r="C2" s="579"/>
    </row>
    <row r="3" spans="1:6" ht="15.75" thickBot="1" x14ac:dyDescent="0.3">
      <c r="A3" s="1"/>
      <c r="B3" s="2"/>
      <c r="C3" s="3"/>
    </row>
    <row r="4" spans="1:6" ht="20.100000000000001" customHeight="1" thickTop="1" thickBot="1" x14ac:dyDescent="0.35">
      <c r="A4" s="4" t="s">
        <v>65</v>
      </c>
      <c r="B4" s="5" t="s">
        <v>66</v>
      </c>
      <c r="C4" s="6" t="s">
        <v>67</v>
      </c>
    </row>
    <row r="5" spans="1:6" ht="24.95" customHeight="1" thickTop="1" x14ac:dyDescent="0.25">
      <c r="A5" s="7" t="s">
        <v>68</v>
      </c>
      <c r="B5" s="8" t="s">
        <v>18</v>
      </c>
      <c r="C5" s="9">
        <f>Boq!G63</f>
        <v>0</v>
      </c>
    </row>
    <row r="6" spans="1:6" ht="24.95" customHeight="1" x14ac:dyDescent="0.25">
      <c r="A6" s="10" t="s">
        <v>69</v>
      </c>
      <c r="B6" s="11" t="s">
        <v>70</v>
      </c>
      <c r="C6" s="12">
        <f>Boq!G122</f>
        <v>0</v>
      </c>
    </row>
    <row r="7" spans="1:6" ht="24.95" customHeight="1" x14ac:dyDescent="0.25">
      <c r="A7" s="10" t="s">
        <v>71</v>
      </c>
      <c r="B7" s="11" t="s">
        <v>72</v>
      </c>
      <c r="C7" s="12">
        <f>Boq!G402</f>
        <v>0</v>
      </c>
    </row>
    <row r="8" spans="1:6" ht="24.95" customHeight="1" x14ac:dyDescent="0.25">
      <c r="A8" s="10" t="s">
        <v>73</v>
      </c>
      <c r="B8" s="11" t="s">
        <v>74</v>
      </c>
      <c r="C8" s="12">
        <f>Boq!G485</f>
        <v>0</v>
      </c>
    </row>
    <row r="9" spans="1:6" ht="24.95" customHeight="1" x14ac:dyDescent="0.25">
      <c r="A9" s="10" t="s">
        <v>75</v>
      </c>
      <c r="B9" s="11" t="s">
        <v>76</v>
      </c>
      <c r="C9" s="12">
        <f>Boq!G589</f>
        <v>0</v>
      </c>
    </row>
    <row r="10" spans="1:6" ht="24.95" customHeight="1" x14ac:dyDescent="0.25">
      <c r="A10" s="10" t="s">
        <v>77</v>
      </c>
      <c r="B10" s="11" t="s">
        <v>79</v>
      </c>
      <c r="C10" s="12">
        <f>Boq!G652</f>
        <v>0</v>
      </c>
    </row>
    <row r="11" spans="1:6" ht="24.95" customHeight="1" x14ac:dyDescent="0.25">
      <c r="A11" s="10" t="s">
        <v>78</v>
      </c>
      <c r="B11" s="11" t="s">
        <v>81</v>
      </c>
      <c r="C11" s="12">
        <f>Boq!G681</f>
        <v>0</v>
      </c>
    </row>
    <row r="12" spans="1:6" ht="24.95" customHeight="1" x14ac:dyDescent="0.25">
      <c r="A12" s="10" t="s">
        <v>80</v>
      </c>
      <c r="B12" s="11" t="s">
        <v>83</v>
      </c>
      <c r="C12" s="12">
        <f>Boq!G711</f>
        <v>0</v>
      </c>
    </row>
    <row r="13" spans="1:6" ht="24.95" customHeight="1" x14ac:dyDescent="0.25">
      <c r="A13" s="10" t="s">
        <v>82</v>
      </c>
      <c r="B13" s="11" t="s">
        <v>85</v>
      </c>
      <c r="C13" s="12">
        <f>Boq!G786</f>
        <v>0</v>
      </c>
    </row>
    <row r="14" spans="1:6" ht="24.95" customHeight="1" x14ac:dyDescent="0.25">
      <c r="A14" s="10" t="s">
        <v>84</v>
      </c>
      <c r="B14" s="11" t="s">
        <v>87</v>
      </c>
      <c r="C14" s="12">
        <f>Boq!G900</f>
        <v>0</v>
      </c>
    </row>
    <row r="15" spans="1:6" ht="24.95" customHeight="1" x14ac:dyDescent="0.25">
      <c r="A15" s="10" t="s">
        <v>86</v>
      </c>
      <c r="B15" s="11" t="s">
        <v>88</v>
      </c>
      <c r="C15" s="12">
        <f>Boq!G1023</f>
        <v>0</v>
      </c>
    </row>
    <row r="16" spans="1:6" ht="24.95" customHeight="1" x14ac:dyDescent="0.25">
      <c r="A16" s="10" t="s">
        <v>348</v>
      </c>
      <c r="B16" s="11" t="s">
        <v>349</v>
      </c>
      <c r="C16" s="12"/>
      <c r="F16" s="50"/>
    </row>
    <row r="17" spans="1:6" ht="24.95" customHeight="1" x14ac:dyDescent="0.25">
      <c r="A17" s="10" t="s">
        <v>379</v>
      </c>
      <c r="B17" s="11" t="s">
        <v>381</v>
      </c>
      <c r="C17" s="12"/>
      <c r="F17" s="50">
        <f>C21/F19</f>
        <v>0</v>
      </c>
    </row>
    <row r="18" spans="1:6" ht="24.95" customHeight="1" x14ac:dyDescent="0.25">
      <c r="A18" s="10" t="s">
        <v>380</v>
      </c>
      <c r="B18" s="11" t="s">
        <v>382</v>
      </c>
      <c r="C18" s="12">
        <f>-Boq!G1222</f>
        <v>0</v>
      </c>
    </row>
    <row r="19" spans="1:6" ht="24.95" customHeight="1" x14ac:dyDescent="0.25">
      <c r="A19" s="13"/>
      <c r="B19" s="14"/>
      <c r="C19" s="15"/>
      <c r="F19">
        <f>107*2*10.764</f>
        <v>2303.4959999999996</v>
      </c>
    </row>
    <row r="20" spans="1:6" ht="24.95" customHeight="1" thickBot="1" x14ac:dyDescent="0.3">
      <c r="A20" s="16"/>
      <c r="B20" s="17"/>
      <c r="C20" s="18"/>
      <c r="F20" s="50">
        <f>C21*3%</f>
        <v>0</v>
      </c>
    </row>
    <row r="21" spans="1:6" ht="24.95" customHeight="1" thickTop="1" thickBot="1" x14ac:dyDescent="0.3">
      <c r="A21" s="19"/>
      <c r="B21" s="20" t="s">
        <v>345</v>
      </c>
      <c r="C21" s="21">
        <f>SUM(C5:C18)</f>
        <v>0</v>
      </c>
      <c r="F21" s="50">
        <f>C21*0.05</f>
        <v>0</v>
      </c>
    </row>
    <row r="22" spans="1:6" ht="24.95" customHeight="1" thickTop="1" thickBot="1" x14ac:dyDescent="0.3">
      <c r="A22" s="19"/>
      <c r="B22" s="20" t="s">
        <v>346</v>
      </c>
      <c r="C22" s="21">
        <f>C21*6%</f>
        <v>0</v>
      </c>
    </row>
    <row r="23" spans="1:6" ht="31.5" customHeight="1" thickTop="1" thickBot="1" x14ac:dyDescent="0.3">
      <c r="A23" s="19"/>
      <c r="B23" s="20" t="s">
        <v>347</v>
      </c>
      <c r="C23" s="21">
        <f>C21+C22</f>
        <v>0</v>
      </c>
    </row>
    <row r="24" spans="1:6" ht="15.75" thickTop="1" x14ac:dyDescent="0.25"/>
  </sheetData>
  <mergeCells count="2">
    <mergeCell ref="A1:C1"/>
    <mergeCell ref="A2:C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22"/>
  <sheetViews>
    <sheetView tabSelected="1" topLeftCell="A478" zoomScaleNormal="100" zoomScaleSheetLayoutView="100" workbookViewId="0">
      <selection activeCell="A478" sqref="A478:XFD478"/>
    </sheetView>
  </sheetViews>
  <sheetFormatPr defaultRowHeight="12" x14ac:dyDescent="0.2"/>
  <cols>
    <col min="1" max="1" width="5.140625" style="36" customWidth="1"/>
    <col min="2" max="2" width="39.140625" style="22" customWidth="1"/>
    <col min="3" max="3" width="4.7109375" style="23" customWidth="1"/>
    <col min="4" max="4" width="8.140625" style="24" customWidth="1"/>
    <col min="5" max="5" width="11.85546875" style="37" customWidth="1"/>
    <col min="6" max="6" width="11.5703125" style="25" customWidth="1"/>
    <col min="7" max="7" width="12.42578125" style="25" customWidth="1"/>
    <col min="8" max="8" width="4.5703125" style="22" customWidth="1"/>
    <col min="9" max="9" width="13.5703125" style="22" hidden="1" customWidth="1"/>
    <col min="10" max="10" width="9.140625" style="22" hidden="1" customWidth="1"/>
    <col min="11" max="11" width="9" style="22" hidden="1" customWidth="1"/>
    <col min="12" max="12" width="9.42578125" style="22" hidden="1" customWidth="1"/>
    <col min="13" max="13" width="11.28515625" style="22" hidden="1" customWidth="1"/>
    <col min="14" max="14" width="12.85546875" style="22" hidden="1" customWidth="1"/>
    <col min="15" max="15" width="7.7109375" style="22" hidden="1" customWidth="1"/>
    <col min="16" max="17" width="0" style="22" hidden="1" customWidth="1"/>
    <col min="18" max="16384" width="9.140625" style="22"/>
  </cols>
  <sheetData>
    <row r="1" spans="1:10" s="32" customFormat="1" ht="18.75" customHeight="1" x14ac:dyDescent="0.25">
      <c r="A1" s="596" t="s">
        <v>470</v>
      </c>
      <c r="B1" s="596"/>
      <c r="C1" s="596"/>
      <c r="D1" s="596"/>
      <c r="E1" s="596"/>
      <c r="F1" s="596"/>
      <c r="G1" s="596"/>
    </row>
    <row r="2" spans="1:10" ht="12.75" thickBot="1" x14ac:dyDescent="0.25"/>
    <row r="3" spans="1:10" s="26" customFormat="1" ht="24.75" thickBot="1" x14ac:dyDescent="0.3">
      <c r="A3" s="108" t="s">
        <v>0</v>
      </c>
      <c r="B3" s="109" t="s">
        <v>1</v>
      </c>
      <c r="C3" s="109" t="s">
        <v>2</v>
      </c>
      <c r="D3" s="110" t="s">
        <v>3</v>
      </c>
      <c r="E3" s="111" t="s">
        <v>4</v>
      </c>
      <c r="F3" s="112" t="s">
        <v>5</v>
      </c>
      <c r="G3" s="113" t="s">
        <v>6</v>
      </c>
    </row>
    <row r="4" spans="1:10" s="26" customFormat="1" x14ac:dyDescent="0.2">
      <c r="A4" s="247"/>
      <c r="B4" s="404" t="s">
        <v>17</v>
      </c>
      <c r="C4" s="278"/>
      <c r="D4" s="279"/>
      <c r="E4" s="251"/>
      <c r="F4" s="413"/>
      <c r="G4" s="62"/>
      <c r="I4" s="43"/>
      <c r="J4" s="42"/>
    </row>
    <row r="5" spans="1:10" s="26" customFormat="1" x14ac:dyDescent="0.2">
      <c r="A5" s="138"/>
      <c r="B5" s="405" t="s">
        <v>18</v>
      </c>
      <c r="C5" s="276"/>
      <c r="D5" s="277"/>
      <c r="E5" s="142"/>
      <c r="F5" s="414"/>
      <c r="G5" s="62"/>
    </row>
    <row r="6" spans="1:10" s="26" customFormat="1" x14ac:dyDescent="0.2">
      <c r="A6" s="138"/>
      <c r="B6" s="415"/>
      <c r="C6" s="276"/>
      <c r="D6" s="277"/>
      <c r="E6" s="142"/>
      <c r="F6" s="414"/>
      <c r="G6" s="62"/>
    </row>
    <row r="7" spans="1:10" s="26" customFormat="1" x14ac:dyDescent="0.2">
      <c r="A7" s="138">
        <v>1.1000000000000001</v>
      </c>
      <c r="B7" s="416" t="s">
        <v>19</v>
      </c>
      <c r="C7" s="276"/>
      <c r="D7" s="277"/>
      <c r="E7" s="142"/>
      <c r="F7" s="414"/>
      <c r="G7" s="62"/>
    </row>
    <row r="8" spans="1:10" s="26" customFormat="1" x14ac:dyDescent="0.2">
      <c r="A8" s="417" t="s">
        <v>7</v>
      </c>
      <c r="B8" s="418" t="s">
        <v>20</v>
      </c>
      <c r="C8" s="276"/>
      <c r="D8" s="277"/>
      <c r="E8" s="142"/>
      <c r="F8" s="414"/>
      <c r="G8" s="62"/>
    </row>
    <row r="9" spans="1:10" s="26" customFormat="1" x14ac:dyDescent="0.2">
      <c r="A9" s="138"/>
      <c r="B9" s="419" t="s">
        <v>21</v>
      </c>
      <c r="C9" s="276"/>
      <c r="D9" s="277"/>
      <c r="E9" s="142"/>
      <c r="F9" s="414"/>
      <c r="G9" s="62"/>
    </row>
    <row r="10" spans="1:10" s="26" customFormat="1" x14ac:dyDescent="0.2">
      <c r="A10" s="138"/>
      <c r="B10" s="419" t="s">
        <v>22</v>
      </c>
      <c r="C10" s="276"/>
      <c r="D10" s="277"/>
      <c r="E10" s="142"/>
      <c r="F10" s="414"/>
      <c r="G10" s="62"/>
    </row>
    <row r="11" spans="1:10" s="26" customFormat="1" x14ac:dyDescent="0.2">
      <c r="A11" s="138"/>
      <c r="B11" s="419" t="s">
        <v>23</v>
      </c>
      <c r="C11" s="276"/>
      <c r="D11" s="277"/>
      <c r="E11" s="142"/>
      <c r="F11" s="414"/>
      <c r="G11" s="62"/>
    </row>
    <row r="12" spans="1:10" s="26" customFormat="1" x14ac:dyDescent="0.2">
      <c r="A12" s="138"/>
      <c r="B12" s="419" t="s">
        <v>24</v>
      </c>
      <c r="C12" s="276"/>
      <c r="D12" s="277"/>
      <c r="E12" s="142"/>
      <c r="F12" s="414"/>
      <c r="G12" s="62"/>
    </row>
    <row r="13" spans="1:10" s="26" customFormat="1" x14ac:dyDescent="0.2">
      <c r="A13" s="138"/>
      <c r="B13" s="419" t="s">
        <v>21</v>
      </c>
      <c r="C13" s="276"/>
      <c r="D13" s="277"/>
      <c r="E13" s="142"/>
      <c r="F13" s="414"/>
      <c r="G13" s="62"/>
    </row>
    <row r="14" spans="1:10" s="26" customFormat="1" x14ac:dyDescent="0.2">
      <c r="A14" s="138"/>
      <c r="B14" s="419" t="s">
        <v>25</v>
      </c>
      <c r="C14" s="276"/>
      <c r="D14" s="277"/>
      <c r="E14" s="142"/>
      <c r="F14" s="414"/>
      <c r="G14" s="62"/>
    </row>
    <row r="15" spans="1:10" s="26" customFormat="1" x14ac:dyDescent="0.2">
      <c r="A15" s="138"/>
      <c r="B15" s="419" t="s">
        <v>26</v>
      </c>
      <c r="C15" s="276"/>
      <c r="D15" s="277"/>
      <c r="E15" s="142"/>
      <c r="F15" s="414"/>
      <c r="G15" s="62"/>
    </row>
    <row r="16" spans="1:10" s="26" customFormat="1" x14ac:dyDescent="0.2">
      <c r="A16" s="138"/>
      <c r="B16" s="419" t="s">
        <v>27</v>
      </c>
      <c r="C16" s="276"/>
      <c r="D16" s="277"/>
      <c r="E16" s="142"/>
      <c r="F16" s="414"/>
      <c r="G16" s="62"/>
    </row>
    <row r="17" spans="1:7" s="26" customFormat="1" x14ac:dyDescent="0.2">
      <c r="A17" s="138"/>
      <c r="B17" s="419" t="s">
        <v>28</v>
      </c>
      <c r="C17" s="276"/>
      <c r="D17" s="277"/>
      <c r="E17" s="142"/>
      <c r="F17" s="414"/>
      <c r="G17" s="62"/>
    </row>
    <row r="18" spans="1:7" s="26" customFormat="1" x14ac:dyDescent="0.2">
      <c r="A18" s="138"/>
      <c r="B18" s="419" t="s">
        <v>29</v>
      </c>
      <c r="C18" s="276"/>
      <c r="D18" s="277"/>
      <c r="E18" s="142"/>
      <c r="F18" s="414"/>
      <c r="G18" s="62"/>
    </row>
    <row r="19" spans="1:7" s="26" customFormat="1" x14ac:dyDescent="0.2">
      <c r="A19" s="138"/>
      <c r="B19" s="419" t="s">
        <v>30</v>
      </c>
      <c r="C19" s="276"/>
      <c r="D19" s="277"/>
      <c r="E19" s="142"/>
      <c r="F19" s="414"/>
      <c r="G19" s="62"/>
    </row>
    <row r="20" spans="1:7" s="26" customFormat="1" x14ac:dyDescent="0.2">
      <c r="A20" s="138"/>
      <c r="B20" s="419"/>
      <c r="C20" s="276"/>
      <c r="D20" s="277"/>
      <c r="E20" s="142"/>
      <c r="F20" s="414"/>
      <c r="G20" s="62"/>
    </row>
    <row r="21" spans="1:7" s="26" customFormat="1" x14ac:dyDescent="0.2">
      <c r="A21" s="417">
        <v>1.2</v>
      </c>
      <c r="B21" s="420" t="s">
        <v>31</v>
      </c>
      <c r="C21" s="246"/>
      <c r="D21" s="141"/>
      <c r="E21" s="142"/>
      <c r="F21" s="414"/>
      <c r="G21" s="62"/>
    </row>
    <row r="22" spans="1:7" s="26" customFormat="1" ht="48.75" customHeight="1" x14ac:dyDescent="0.2">
      <c r="A22" s="138" t="s">
        <v>7</v>
      </c>
      <c r="B22" s="421" t="s">
        <v>227</v>
      </c>
      <c r="C22" s="246" t="s">
        <v>0</v>
      </c>
      <c r="D22" s="141">
        <v>1</v>
      </c>
      <c r="E22" s="142"/>
      <c r="F22" s="143"/>
      <c r="G22" s="64">
        <f t="shared" ref="G22:G35" si="0">(D22*E22)+(D22*F22)</f>
        <v>0</v>
      </c>
    </row>
    <row r="23" spans="1:7" s="26" customFormat="1" x14ac:dyDescent="0.2">
      <c r="A23" s="417"/>
      <c r="B23" s="421"/>
      <c r="C23" s="246"/>
      <c r="D23" s="141"/>
      <c r="E23" s="142"/>
      <c r="F23" s="143"/>
      <c r="G23" s="64">
        <f t="shared" si="0"/>
        <v>0</v>
      </c>
    </row>
    <row r="24" spans="1:7" s="26" customFormat="1" x14ac:dyDescent="0.2">
      <c r="A24" s="138">
        <v>1.3</v>
      </c>
      <c r="B24" s="420" t="s">
        <v>32</v>
      </c>
      <c r="C24" s="246"/>
      <c r="D24" s="141"/>
      <c r="E24" s="142"/>
      <c r="F24" s="143"/>
      <c r="G24" s="64">
        <f t="shared" si="0"/>
        <v>0</v>
      </c>
    </row>
    <row r="25" spans="1:7" s="26" customFormat="1" x14ac:dyDescent="0.2">
      <c r="A25" s="138" t="s">
        <v>7</v>
      </c>
      <c r="B25" s="422" t="s">
        <v>33</v>
      </c>
      <c r="C25" s="246" t="s">
        <v>34</v>
      </c>
      <c r="D25" s="141">
        <v>1</v>
      </c>
      <c r="E25" s="142"/>
      <c r="F25" s="143"/>
      <c r="G25" s="64">
        <f t="shared" si="0"/>
        <v>0</v>
      </c>
    </row>
    <row r="26" spans="1:7" s="26" customFormat="1" x14ac:dyDescent="0.2">
      <c r="A26" s="138"/>
      <c r="B26" s="422"/>
      <c r="C26" s="246"/>
      <c r="D26" s="141"/>
      <c r="E26" s="142"/>
      <c r="F26" s="143"/>
      <c r="G26" s="64">
        <f t="shared" si="0"/>
        <v>0</v>
      </c>
    </row>
    <row r="27" spans="1:7" s="26" customFormat="1" x14ac:dyDescent="0.2">
      <c r="A27" s="138" t="s">
        <v>161</v>
      </c>
      <c r="B27" s="423" t="s">
        <v>162</v>
      </c>
      <c r="C27" s="246"/>
      <c r="D27" s="141"/>
      <c r="E27" s="142"/>
      <c r="F27" s="143"/>
      <c r="G27" s="64">
        <f t="shared" si="0"/>
        <v>0</v>
      </c>
    </row>
    <row r="28" spans="1:7" s="26" customFormat="1" ht="39.75" customHeight="1" x14ac:dyDescent="0.2">
      <c r="A28" s="138" t="s">
        <v>7</v>
      </c>
      <c r="B28" s="205" t="s">
        <v>459</v>
      </c>
      <c r="C28" s="246" t="s">
        <v>0</v>
      </c>
      <c r="D28" s="141">
        <v>1</v>
      </c>
      <c r="E28" s="142"/>
      <c r="F28" s="143"/>
      <c r="G28" s="64">
        <f t="shared" si="0"/>
        <v>0</v>
      </c>
    </row>
    <row r="29" spans="1:7" s="26" customFormat="1" x14ac:dyDescent="0.2">
      <c r="A29" s="138"/>
      <c r="B29" s="422"/>
      <c r="C29" s="246"/>
      <c r="D29" s="141"/>
      <c r="E29" s="142"/>
      <c r="F29" s="143"/>
      <c r="G29" s="64"/>
    </row>
    <row r="30" spans="1:7" s="26" customFormat="1" x14ac:dyDescent="0.2">
      <c r="A30" s="138" t="s">
        <v>174</v>
      </c>
      <c r="B30" s="423" t="s">
        <v>460</v>
      </c>
      <c r="C30" s="246"/>
      <c r="D30" s="141"/>
      <c r="E30" s="142"/>
      <c r="F30" s="143"/>
      <c r="G30" s="64">
        <f t="shared" ref="G30:G31" si="1">(D30*E30)+(D30*F30)</f>
        <v>0</v>
      </c>
    </row>
    <row r="31" spans="1:7" s="26" customFormat="1" ht="24" x14ac:dyDescent="0.2">
      <c r="A31" s="138" t="s">
        <v>7</v>
      </c>
      <c r="B31" s="485" t="s">
        <v>462</v>
      </c>
      <c r="C31" s="246" t="s">
        <v>0</v>
      </c>
      <c r="D31" s="141">
        <v>1</v>
      </c>
      <c r="E31" s="142"/>
      <c r="F31" s="143"/>
      <c r="G31" s="64">
        <f t="shared" si="1"/>
        <v>0</v>
      </c>
    </row>
    <row r="32" spans="1:7" s="26" customFormat="1" x14ac:dyDescent="0.2">
      <c r="A32" s="138"/>
      <c r="B32" s="422"/>
      <c r="C32" s="246"/>
      <c r="D32" s="141"/>
      <c r="E32" s="142"/>
      <c r="F32" s="143"/>
      <c r="G32" s="64"/>
    </row>
    <row r="33" spans="1:7" s="26" customFormat="1" x14ac:dyDescent="0.2">
      <c r="A33" s="266" t="s">
        <v>461</v>
      </c>
      <c r="B33" s="424" t="s">
        <v>463</v>
      </c>
      <c r="C33" s="425"/>
      <c r="D33" s="426"/>
      <c r="E33" s="142"/>
      <c r="F33" s="143"/>
      <c r="G33" s="64">
        <f t="shared" si="0"/>
        <v>0</v>
      </c>
    </row>
    <row r="34" spans="1:7" s="26" customFormat="1" ht="27.75" customHeight="1" x14ac:dyDescent="0.2">
      <c r="A34" s="138" t="s">
        <v>7</v>
      </c>
      <c r="B34" s="427" t="s">
        <v>35</v>
      </c>
      <c r="C34" s="246" t="s">
        <v>0</v>
      </c>
      <c r="D34" s="141">
        <v>1</v>
      </c>
      <c r="E34" s="142"/>
      <c r="F34" s="143"/>
      <c r="G34" s="64">
        <f t="shared" si="0"/>
        <v>0</v>
      </c>
    </row>
    <row r="35" spans="1:7" s="26" customFormat="1" x14ac:dyDescent="0.2">
      <c r="A35" s="417"/>
      <c r="B35" s="427"/>
      <c r="C35" s="246"/>
      <c r="D35" s="141"/>
      <c r="E35" s="142"/>
      <c r="F35" s="414"/>
      <c r="G35" s="64">
        <f t="shared" si="0"/>
        <v>0</v>
      </c>
    </row>
    <row r="36" spans="1:7" s="26" customFormat="1" x14ac:dyDescent="0.2">
      <c r="A36" s="417"/>
      <c r="B36" s="565"/>
      <c r="C36" s="246"/>
      <c r="D36" s="141"/>
      <c r="E36" s="142"/>
      <c r="F36" s="414"/>
      <c r="G36" s="64"/>
    </row>
    <row r="37" spans="1:7" s="26" customFormat="1" x14ac:dyDescent="0.2">
      <c r="A37" s="417"/>
      <c r="B37" s="565"/>
      <c r="C37" s="246"/>
      <c r="D37" s="141"/>
      <c r="E37" s="142"/>
      <c r="F37" s="414"/>
      <c r="G37" s="64"/>
    </row>
    <row r="38" spans="1:7" s="26" customFormat="1" x14ac:dyDescent="0.2">
      <c r="A38" s="417"/>
      <c r="B38" s="565"/>
      <c r="C38" s="246"/>
      <c r="D38" s="141"/>
      <c r="E38" s="142"/>
      <c r="F38" s="414"/>
      <c r="G38" s="64"/>
    </row>
    <row r="39" spans="1:7" s="26" customFormat="1" x14ac:dyDescent="0.2">
      <c r="A39" s="417"/>
      <c r="B39" s="565"/>
      <c r="C39" s="246"/>
      <c r="D39" s="141"/>
      <c r="E39" s="142"/>
      <c r="F39" s="414"/>
      <c r="G39" s="64"/>
    </row>
    <row r="40" spans="1:7" s="26" customFormat="1" x14ac:dyDescent="0.2">
      <c r="A40" s="417"/>
      <c r="B40" s="565"/>
      <c r="C40" s="246"/>
      <c r="D40" s="141"/>
      <c r="E40" s="142"/>
      <c r="F40" s="414"/>
      <c r="G40" s="64"/>
    </row>
    <row r="41" spans="1:7" s="26" customFormat="1" x14ac:dyDescent="0.2">
      <c r="A41" s="417"/>
      <c r="B41" s="565"/>
      <c r="C41" s="246"/>
      <c r="D41" s="141"/>
      <c r="E41" s="142"/>
      <c r="F41" s="414"/>
      <c r="G41" s="64"/>
    </row>
    <row r="42" spans="1:7" s="26" customFormat="1" x14ac:dyDescent="0.2">
      <c r="A42" s="417"/>
      <c r="B42" s="565"/>
      <c r="C42" s="246"/>
      <c r="D42" s="141"/>
      <c r="E42" s="142"/>
      <c r="F42" s="414"/>
      <c r="G42" s="64"/>
    </row>
    <row r="43" spans="1:7" s="26" customFormat="1" x14ac:dyDescent="0.2">
      <c r="A43" s="417"/>
      <c r="B43" s="565"/>
      <c r="C43" s="246"/>
      <c r="D43" s="141"/>
      <c r="E43" s="142"/>
      <c r="F43" s="414"/>
      <c r="G43" s="64"/>
    </row>
    <row r="44" spans="1:7" s="26" customFormat="1" x14ac:dyDescent="0.2">
      <c r="A44" s="417"/>
      <c r="B44" s="565"/>
      <c r="C44" s="246"/>
      <c r="D44" s="141"/>
      <c r="E44" s="142"/>
      <c r="F44" s="414"/>
      <c r="G44" s="64"/>
    </row>
    <row r="45" spans="1:7" s="26" customFormat="1" x14ac:dyDescent="0.2">
      <c r="A45" s="417"/>
      <c r="B45" s="565"/>
      <c r="C45" s="246"/>
      <c r="D45" s="141"/>
      <c r="E45" s="142"/>
      <c r="F45" s="414"/>
      <c r="G45" s="64"/>
    </row>
    <row r="46" spans="1:7" s="26" customFormat="1" x14ac:dyDescent="0.2">
      <c r="A46" s="417"/>
      <c r="B46" s="565"/>
      <c r="C46" s="246"/>
      <c r="D46" s="141"/>
      <c r="E46" s="142"/>
      <c r="F46" s="414"/>
      <c r="G46" s="64"/>
    </row>
    <row r="47" spans="1:7" s="26" customFormat="1" x14ac:dyDescent="0.2">
      <c r="A47" s="417"/>
      <c r="B47" s="565"/>
      <c r="C47" s="246"/>
      <c r="D47" s="141"/>
      <c r="E47" s="142"/>
      <c r="F47" s="414"/>
      <c r="G47" s="64"/>
    </row>
    <row r="48" spans="1:7" s="26" customFormat="1" x14ac:dyDescent="0.2">
      <c r="A48" s="417"/>
      <c r="B48" s="565"/>
      <c r="C48" s="246"/>
      <c r="D48" s="141"/>
      <c r="E48" s="142"/>
      <c r="F48" s="414"/>
      <c r="G48" s="64"/>
    </row>
    <row r="49" spans="1:7" s="26" customFormat="1" x14ac:dyDescent="0.2">
      <c r="A49" s="417"/>
      <c r="B49" s="565"/>
      <c r="C49" s="246"/>
      <c r="D49" s="141"/>
      <c r="E49" s="142"/>
      <c r="F49" s="414"/>
      <c r="G49" s="64"/>
    </row>
    <row r="50" spans="1:7" s="26" customFormat="1" x14ac:dyDescent="0.2">
      <c r="A50" s="417"/>
      <c r="B50" s="565"/>
      <c r="C50" s="246"/>
      <c r="D50" s="141"/>
      <c r="E50" s="142"/>
      <c r="F50" s="414"/>
      <c r="G50" s="64"/>
    </row>
    <row r="51" spans="1:7" s="26" customFormat="1" x14ac:dyDescent="0.2">
      <c r="A51" s="417"/>
      <c r="B51" s="565"/>
      <c r="C51" s="246"/>
      <c r="D51" s="141"/>
      <c r="E51" s="142"/>
      <c r="F51" s="414"/>
      <c r="G51" s="64"/>
    </row>
    <row r="52" spans="1:7" s="26" customFormat="1" x14ac:dyDescent="0.2">
      <c r="A52" s="417"/>
      <c r="B52" s="565"/>
      <c r="C52" s="246"/>
      <c r="D52" s="141"/>
      <c r="E52" s="142"/>
      <c r="F52" s="414"/>
      <c r="G52" s="64"/>
    </row>
    <row r="53" spans="1:7" s="26" customFormat="1" x14ac:dyDescent="0.2">
      <c r="A53" s="417"/>
      <c r="B53" s="568"/>
      <c r="C53" s="246"/>
      <c r="D53" s="141"/>
      <c r="E53" s="142"/>
      <c r="F53" s="414"/>
      <c r="G53" s="64"/>
    </row>
    <row r="54" spans="1:7" s="26" customFormat="1" x14ac:dyDescent="0.2">
      <c r="A54" s="417"/>
      <c r="B54" s="568"/>
      <c r="C54" s="246"/>
      <c r="D54" s="141"/>
      <c r="E54" s="142"/>
      <c r="F54" s="414"/>
      <c r="G54" s="64"/>
    </row>
    <row r="55" spans="1:7" s="26" customFormat="1" x14ac:dyDescent="0.2">
      <c r="A55" s="417"/>
      <c r="B55" s="565"/>
      <c r="C55" s="246"/>
      <c r="D55" s="141"/>
      <c r="E55" s="142"/>
      <c r="F55" s="414"/>
      <c r="G55" s="64"/>
    </row>
    <row r="56" spans="1:7" s="26" customFormat="1" x14ac:dyDescent="0.2">
      <c r="A56" s="417"/>
      <c r="B56" s="565"/>
      <c r="C56" s="246"/>
      <c r="D56" s="141"/>
      <c r="E56" s="142"/>
      <c r="F56" s="414"/>
      <c r="G56" s="64"/>
    </row>
    <row r="57" spans="1:7" s="26" customFormat="1" x14ac:dyDescent="0.2">
      <c r="A57" s="417"/>
      <c r="B57" s="565"/>
      <c r="C57" s="246"/>
      <c r="D57" s="141"/>
      <c r="E57" s="142"/>
      <c r="F57" s="414"/>
      <c r="G57" s="64"/>
    </row>
    <row r="58" spans="1:7" s="26" customFormat="1" x14ac:dyDescent="0.2">
      <c r="A58" s="417"/>
      <c r="B58" s="565"/>
      <c r="C58" s="246"/>
      <c r="D58" s="141"/>
      <c r="E58" s="142"/>
      <c r="F58" s="414"/>
      <c r="G58" s="64"/>
    </row>
    <row r="59" spans="1:7" s="26" customFormat="1" x14ac:dyDescent="0.2">
      <c r="A59" s="417"/>
      <c r="B59" s="567"/>
      <c r="C59" s="246"/>
      <c r="D59" s="141"/>
      <c r="E59" s="142"/>
      <c r="F59" s="414"/>
      <c r="G59" s="64"/>
    </row>
    <row r="60" spans="1:7" s="26" customFormat="1" x14ac:dyDescent="0.2">
      <c r="A60" s="417"/>
      <c r="B60" s="565"/>
      <c r="C60" s="246"/>
      <c r="D60" s="141"/>
      <c r="E60" s="142"/>
      <c r="F60" s="414"/>
      <c r="G60" s="64"/>
    </row>
    <row r="61" spans="1:7" s="26" customFormat="1" ht="12.75" thickBot="1" x14ac:dyDescent="0.25">
      <c r="A61" s="417"/>
      <c r="B61" s="427"/>
      <c r="C61" s="246"/>
      <c r="D61" s="141"/>
      <c r="E61" s="142"/>
      <c r="F61" s="414"/>
      <c r="G61" s="62"/>
    </row>
    <row r="62" spans="1:7" s="26" customFormat="1" x14ac:dyDescent="0.2">
      <c r="A62" s="114"/>
      <c r="B62" s="115" t="s">
        <v>36</v>
      </c>
      <c r="C62" s="116"/>
      <c r="D62" s="117"/>
      <c r="E62" s="118"/>
      <c r="F62" s="125"/>
      <c r="G62" s="119"/>
    </row>
    <row r="63" spans="1:7" s="26" customFormat="1" ht="12.75" thickBot="1" x14ac:dyDescent="0.25">
      <c r="A63" s="120"/>
      <c r="B63" s="103" t="s">
        <v>37</v>
      </c>
      <c r="C63" s="121"/>
      <c r="D63" s="122"/>
      <c r="E63" s="123"/>
      <c r="F63" s="126"/>
      <c r="G63" s="124">
        <f>SUM(G22:G62)</f>
        <v>0</v>
      </c>
    </row>
    <row r="64" spans="1:7" s="26" customFormat="1" x14ac:dyDescent="0.2">
      <c r="A64" s="247"/>
      <c r="B64" s="248"/>
      <c r="C64" s="333"/>
      <c r="D64" s="250"/>
      <c r="E64" s="251"/>
      <c r="F64" s="413"/>
      <c r="G64" s="428"/>
    </row>
    <row r="65" spans="1:10" s="26" customFormat="1" x14ac:dyDescent="0.2">
      <c r="A65" s="138"/>
      <c r="B65" s="405" t="s">
        <v>38</v>
      </c>
      <c r="C65" s="276"/>
      <c r="D65" s="277"/>
      <c r="E65" s="142"/>
      <c r="F65" s="414"/>
      <c r="G65" s="429"/>
    </row>
    <row r="66" spans="1:10" s="26" customFormat="1" x14ac:dyDescent="0.2">
      <c r="A66" s="138"/>
      <c r="B66" s="405" t="s">
        <v>39</v>
      </c>
      <c r="C66" s="276"/>
      <c r="D66" s="277"/>
      <c r="E66" s="142"/>
      <c r="F66" s="414"/>
      <c r="G66" s="429"/>
    </row>
    <row r="67" spans="1:10" s="26" customFormat="1" x14ac:dyDescent="0.2">
      <c r="A67" s="138">
        <v>2.1</v>
      </c>
      <c r="B67" s="416" t="s">
        <v>40</v>
      </c>
      <c r="C67" s="276"/>
      <c r="D67" s="277"/>
      <c r="E67" s="142"/>
      <c r="F67" s="414"/>
      <c r="G67" s="429"/>
    </row>
    <row r="68" spans="1:10" s="26" customFormat="1" ht="54.75" customHeight="1" x14ac:dyDescent="0.2">
      <c r="A68" s="138"/>
      <c r="B68" s="430" t="s">
        <v>228</v>
      </c>
      <c r="C68" s="431"/>
      <c r="D68" s="431"/>
      <c r="E68" s="431"/>
      <c r="F68" s="431"/>
      <c r="G68" s="432"/>
    </row>
    <row r="69" spans="1:10" s="26" customFormat="1" x14ac:dyDescent="0.25">
      <c r="A69" s="433"/>
      <c r="B69" s="434"/>
      <c r="C69" s="434"/>
      <c r="D69" s="435"/>
      <c r="E69" s="436"/>
      <c r="F69" s="434"/>
      <c r="G69" s="437"/>
    </row>
    <row r="70" spans="1:10" s="26" customFormat="1" x14ac:dyDescent="0.2">
      <c r="A70" s="138"/>
      <c r="B70" s="139"/>
      <c r="C70" s="246"/>
      <c r="D70" s="141"/>
      <c r="E70" s="142"/>
      <c r="F70" s="414"/>
      <c r="G70" s="144">
        <f t="shared" ref="G70" si="2">(D70*E70)+(D70*F70)</f>
        <v>0</v>
      </c>
    </row>
    <row r="71" spans="1:10" s="26" customFormat="1" x14ac:dyDescent="0.2">
      <c r="A71" s="138" t="s">
        <v>10</v>
      </c>
      <c r="B71" s="440" t="s">
        <v>43</v>
      </c>
      <c r="C71" s="246"/>
      <c r="D71" s="141"/>
      <c r="E71" s="142"/>
      <c r="F71" s="414"/>
      <c r="G71" s="429"/>
    </row>
    <row r="72" spans="1:10" s="26" customFormat="1" ht="25.5" customHeight="1" x14ac:dyDescent="0.25">
      <c r="A72" s="138"/>
      <c r="B72" s="441" t="s">
        <v>250</v>
      </c>
      <c r="C72" s="442"/>
      <c r="D72" s="442"/>
      <c r="E72" s="442"/>
      <c r="F72" s="414"/>
      <c r="G72" s="429"/>
    </row>
    <row r="73" spans="1:10" s="26" customFormat="1" ht="25.5" customHeight="1" x14ac:dyDescent="0.25">
      <c r="A73" s="138"/>
      <c r="B73" s="427" t="s">
        <v>251</v>
      </c>
      <c r="C73" s="443"/>
      <c r="D73" s="443"/>
      <c r="E73" s="443"/>
      <c r="F73" s="414"/>
      <c r="G73" s="429"/>
    </row>
    <row r="74" spans="1:10" s="26" customFormat="1" ht="24" x14ac:dyDescent="0.2">
      <c r="A74" s="138" t="s">
        <v>164</v>
      </c>
      <c r="B74" s="444" t="s">
        <v>283</v>
      </c>
      <c r="C74" s="246" t="s">
        <v>41</v>
      </c>
      <c r="D74" s="438">
        <v>246.4</v>
      </c>
      <c r="E74" s="142"/>
      <c r="F74" s="143"/>
      <c r="G74" s="144">
        <f t="shared" ref="G74:G120" si="3">(D74*E74)+(D74*F74)</f>
        <v>0</v>
      </c>
      <c r="I74" s="26">
        <f>19.2*10.75</f>
        <v>206.4</v>
      </c>
    </row>
    <row r="75" spans="1:10" s="26" customFormat="1" ht="38.25" customHeight="1" x14ac:dyDescent="0.2">
      <c r="A75" s="138" t="s">
        <v>165</v>
      </c>
      <c r="B75" s="444" t="s">
        <v>284</v>
      </c>
      <c r="C75" s="246" t="s">
        <v>41</v>
      </c>
      <c r="D75" s="438">
        <f>D74</f>
        <v>246.4</v>
      </c>
      <c r="E75" s="142"/>
      <c r="F75" s="143"/>
      <c r="G75" s="144">
        <f t="shared" si="3"/>
        <v>0</v>
      </c>
    </row>
    <row r="76" spans="1:10" s="26" customFormat="1" x14ac:dyDescent="0.2">
      <c r="A76" s="138" t="s">
        <v>16</v>
      </c>
      <c r="B76" s="439" t="s">
        <v>44</v>
      </c>
      <c r="C76" s="246"/>
      <c r="D76" s="141"/>
      <c r="E76" s="142"/>
      <c r="F76" s="143"/>
      <c r="G76" s="144">
        <f t="shared" si="3"/>
        <v>0</v>
      </c>
    </row>
    <row r="77" spans="1:10" s="26" customFormat="1" ht="27" customHeight="1" x14ac:dyDescent="0.2">
      <c r="A77" s="138"/>
      <c r="B77" s="445" t="s">
        <v>45</v>
      </c>
      <c r="C77" s="246"/>
      <c r="D77" s="141"/>
      <c r="E77" s="142"/>
      <c r="F77" s="143"/>
      <c r="G77" s="144">
        <f t="shared" si="3"/>
        <v>0</v>
      </c>
    </row>
    <row r="78" spans="1:10" s="26" customFormat="1" ht="24" x14ac:dyDescent="0.2">
      <c r="A78" s="138" t="s">
        <v>164</v>
      </c>
      <c r="B78" s="445" t="s">
        <v>46</v>
      </c>
      <c r="C78" s="246" t="s">
        <v>41</v>
      </c>
      <c r="D78" s="141">
        <f>D75+D130</f>
        <v>256.10000000000002</v>
      </c>
      <c r="E78" s="142"/>
      <c r="F78" s="143"/>
      <c r="G78" s="144">
        <f t="shared" si="3"/>
        <v>0</v>
      </c>
      <c r="I78" s="28"/>
      <c r="J78" s="28"/>
    </row>
    <row r="79" spans="1:10" s="26" customFormat="1" x14ac:dyDescent="0.2">
      <c r="A79" s="138"/>
      <c r="B79" s="445"/>
      <c r="C79" s="246"/>
      <c r="D79" s="141"/>
      <c r="E79" s="142"/>
      <c r="F79" s="143"/>
      <c r="G79" s="144"/>
      <c r="I79" s="28"/>
      <c r="J79" s="28"/>
    </row>
    <row r="80" spans="1:10" s="26" customFormat="1" x14ac:dyDescent="0.2">
      <c r="A80" s="138"/>
      <c r="B80" s="445"/>
      <c r="C80" s="246"/>
      <c r="D80" s="141"/>
      <c r="E80" s="142"/>
      <c r="F80" s="143"/>
      <c r="G80" s="144"/>
      <c r="I80" s="28"/>
      <c r="J80" s="28"/>
    </row>
    <row r="81" spans="1:10" s="26" customFormat="1" x14ac:dyDescent="0.2">
      <c r="A81" s="138"/>
      <c r="B81" s="445"/>
      <c r="C81" s="246"/>
      <c r="D81" s="141"/>
      <c r="E81" s="142"/>
      <c r="F81" s="143"/>
      <c r="G81" s="144"/>
      <c r="I81" s="28"/>
      <c r="J81" s="28"/>
    </row>
    <row r="82" spans="1:10" s="26" customFormat="1" x14ac:dyDescent="0.2">
      <c r="A82" s="138"/>
      <c r="B82" s="445"/>
      <c r="C82" s="246"/>
      <c r="D82" s="141"/>
      <c r="E82" s="142"/>
      <c r="F82" s="143"/>
      <c r="G82" s="144"/>
      <c r="I82" s="28"/>
      <c r="J82" s="28"/>
    </row>
    <row r="83" spans="1:10" s="26" customFormat="1" x14ac:dyDescent="0.2">
      <c r="A83" s="138"/>
      <c r="B83" s="445"/>
      <c r="C83" s="246"/>
      <c r="D83" s="141"/>
      <c r="E83" s="142"/>
      <c r="F83" s="143"/>
      <c r="G83" s="144"/>
      <c r="I83" s="28"/>
      <c r="J83" s="28"/>
    </row>
    <row r="84" spans="1:10" s="26" customFormat="1" x14ac:dyDescent="0.2">
      <c r="A84" s="138"/>
      <c r="B84" s="445"/>
      <c r="C84" s="246"/>
      <c r="D84" s="141"/>
      <c r="E84" s="142"/>
      <c r="F84" s="143"/>
      <c r="G84" s="144"/>
      <c r="I84" s="28"/>
      <c r="J84" s="28"/>
    </row>
    <row r="85" spans="1:10" s="26" customFormat="1" x14ac:dyDescent="0.2">
      <c r="A85" s="138"/>
      <c r="B85" s="445"/>
      <c r="C85" s="246"/>
      <c r="D85" s="141"/>
      <c r="E85" s="142"/>
      <c r="F85" s="143"/>
      <c r="G85" s="144"/>
      <c r="I85" s="28"/>
      <c r="J85" s="28"/>
    </row>
    <row r="86" spans="1:10" s="26" customFormat="1" x14ac:dyDescent="0.2">
      <c r="A86" s="138"/>
      <c r="B86" s="445"/>
      <c r="C86" s="246"/>
      <c r="D86" s="141"/>
      <c r="E86" s="142"/>
      <c r="F86" s="143"/>
      <c r="G86" s="144"/>
      <c r="I86" s="28"/>
      <c r="J86" s="28"/>
    </row>
    <row r="87" spans="1:10" s="26" customFormat="1" x14ac:dyDescent="0.2">
      <c r="A87" s="138"/>
      <c r="B87" s="445"/>
      <c r="C87" s="246"/>
      <c r="D87" s="141"/>
      <c r="E87" s="142"/>
      <c r="F87" s="143"/>
      <c r="G87" s="144"/>
      <c r="I87" s="28"/>
      <c r="J87" s="28"/>
    </row>
    <row r="88" spans="1:10" s="26" customFormat="1" x14ac:dyDescent="0.2">
      <c r="A88" s="138"/>
      <c r="B88" s="445"/>
      <c r="C88" s="246"/>
      <c r="D88" s="141"/>
      <c r="E88" s="142"/>
      <c r="F88" s="143"/>
      <c r="G88" s="144"/>
      <c r="I88" s="28"/>
      <c r="J88" s="28"/>
    </row>
    <row r="89" spans="1:10" s="26" customFormat="1" x14ac:dyDescent="0.2">
      <c r="A89" s="138"/>
      <c r="B89" s="445"/>
      <c r="C89" s="246"/>
      <c r="D89" s="141"/>
      <c r="E89" s="142"/>
      <c r="F89" s="143"/>
      <c r="G89" s="144"/>
      <c r="I89" s="28"/>
      <c r="J89" s="28"/>
    </row>
    <row r="90" spans="1:10" s="26" customFormat="1" x14ac:dyDescent="0.2">
      <c r="A90" s="138"/>
      <c r="B90" s="445"/>
      <c r="C90" s="246"/>
      <c r="D90" s="141"/>
      <c r="E90" s="142"/>
      <c r="F90" s="143"/>
      <c r="G90" s="144"/>
      <c r="I90" s="28"/>
      <c r="J90" s="28"/>
    </row>
    <row r="91" spans="1:10" s="26" customFormat="1" x14ac:dyDescent="0.2">
      <c r="A91" s="138"/>
      <c r="B91" s="445"/>
      <c r="C91" s="246"/>
      <c r="D91" s="141"/>
      <c r="E91" s="142"/>
      <c r="F91" s="143"/>
      <c r="G91" s="144"/>
      <c r="I91" s="28"/>
      <c r="J91" s="28"/>
    </row>
    <row r="92" spans="1:10" s="26" customFormat="1" x14ac:dyDescent="0.2">
      <c r="A92" s="138"/>
      <c r="B92" s="445"/>
      <c r="C92" s="246"/>
      <c r="D92" s="141"/>
      <c r="E92" s="142"/>
      <c r="F92" s="143"/>
      <c r="G92" s="144"/>
      <c r="I92" s="28"/>
      <c r="J92" s="28"/>
    </row>
    <row r="93" spans="1:10" s="26" customFormat="1" x14ac:dyDescent="0.2">
      <c r="A93" s="138"/>
      <c r="B93" s="445"/>
      <c r="C93" s="246"/>
      <c r="D93" s="141"/>
      <c r="E93" s="142"/>
      <c r="F93" s="143"/>
      <c r="G93" s="144"/>
      <c r="I93" s="28"/>
      <c r="J93" s="28"/>
    </row>
    <row r="94" spans="1:10" s="26" customFormat="1" x14ac:dyDescent="0.2">
      <c r="A94" s="138"/>
      <c r="B94" s="445"/>
      <c r="C94" s="246"/>
      <c r="D94" s="141"/>
      <c r="E94" s="142"/>
      <c r="F94" s="143"/>
      <c r="G94" s="144"/>
      <c r="I94" s="28"/>
      <c r="J94" s="28"/>
    </row>
    <row r="95" spans="1:10" s="26" customFormat="1" x14ac:dyDescent="0.2">
      <c r="A95" s="138"/>
      <c r="B95" s="445"/>
      <c r="C95" s="246"/>
      <c r="D95" s="141"/>
      <c r="E95" s="142"/>
      <c r="F95" s="143"/>
      <c r="G95" s="144"/>
      <c r="I95" s="28"/>
      <c r="J95" s="28"/>
    </row>
    <row r="96" spans="1:10" s="26" customFormat="1" x14ac:dyDescent="0.2">
      <c r="A96" s="138"/>
      <c r="B96" s="445"/>
      <c r="C96" s="246"/>
      <c r="D96" s="141"/>
      <c r="E96" s="142"/>
      <c r="F96" s="143"/>
      <c r="G96" s="144"/>
      <c r="I96" s="28"/>
      <c r="J96" s="28"/>
    </row>
    <row r="97" spans="1:10" s="26" customFormat="1" x14ac:dyDescent="0.2">
      <c r="A97" s="138"/>
      <c r="B97" s="445"/>
      <c r="C97" s="246"/>
      <c r="D97" s="141"/>
      <c r="E97" s="142"/>
      <c r="F97" s="143"/>
      <c r="G97" s="144"/>
      <c r="I97" s="28"/>
      <c r="J97" s="28"/>
    </row>
    <row r="98" spans="1:10" s="26" customFormat="1" x14ac:dyDescent="0.2">
      <c r="A98" s="138"/>
      <c r="B98" s="445"/>
      <c r="C98" s="246"/>
      <c r="D98" s="141"/>
      <c r="E98" s="142"/>
      <c r="F98" s="143"/>
      <c r="G98" s="144"/>
      <c r="I98" s="28"/>
      <c r="J98" s="28"/>
    </row>
    <row r="99" spans="1:10" s="26" customFormat="1" x14ac:dyDescent="0.2">
      <c r="A99" s="138"/>
      <c r="B99" s="445"/>
      <c r="C99" s="246"/>
      <c r="D99" s="141"/>
      <c r="E99" s="142"/>
      <c r="F99" s="143"/>
      <c r="G99" s="144"/>
      <c r="I99" s="28"/>
      <c r="J99" s="28"/>
    </row>
    <row r="100" spans="1:10" s="26" customFormat="1" x14ac:dyDescent="0.2">
      <c r="A100" s="138"/>
      <c r="B100" s="445"/>
      <c r="C100" s="246"/>
      <c r="D100" s="141"/>
      <c r="E100" s="142"/>
      <c r="F100" s="143"/>
      <c r="G100" s="144"/>
      <c r="I100" s="28"/>
      <c r="J100" s="28"/>
    </row>
    <row r="101" spans="1:10" s="26" customFormat="1" x14ac:dyDescent="0.2">
      <c r="A101" s="138"/>
      <c r="B101" s="445"/>
      <c r="C101" s="246"/>
      <c r="D101" s="141"/>
      <c r="E101" s="142"/>
      <c r="F101" s="143"/>
      <c r="G101" s="144"/>
      <c r="I101" s="28"/>
      <c r="J101" s="28"/>
    </row>
    <row r="102" spans="1:10" s="26" customFormat="1" x14ac:dyDescent="0.2">
      <c r="A102" s="138"/>
      <c r="B102" s="445"/>
      <c r="C102" s="246"/>
      <c r="D102" s="141"/>
      <c r="E102" s="142"/>
      <c r="F102" s="143"/>
      <c r="G102" s="144"/>
      <c r="I102" s="28"/>
      <c r="J102" s="28"/>
    </row>
    <row r="103" spans="1:10" s="26" customFormat="1" x14ac:dyDescent="0.2">
      <c r="A103" s="138"/>
      <c r="B103" s="445"/>
      <c r="C103" s="246"/>
      <c r="D103" s="141"/>
      <c r="E103" s="142"/>
      <c r="F103" s="143"/>
      <c r="G103" s="144"/>
      <c r="I103" s="28"/>
      <c r="J103" s="28"/>
    </row>
    <row r="104" spans="1:10" s="26" customFormat="1" x14ac:dyDescent="0.2">
      <c r="A104" s="138"/>
      <c r="B104" s="445"/>
      <c r="C104" s="246"/>
      <c r="D104" s="141"/>
      <c r="E104" s="142"/>
      <c r="F104" s="143"/>
      <c r="G104" s="144"/>
      <c r="I104" s="28"/>
      <c r="J104" s="28"/>
    </row>
    <row r="105" spans="1:10" s="26" customFormat="1" x14ac:dyDescent="0.2">
      <c r="A105" s="138"/>
      <c r="B105" s="445"/>
      <c r="C105" s="246"/>
      <c r="D105" s="141"/>
      <c r="E105" s="142"/>
      <c r="F105" s="143"/>
      <c r="G105" s="144"/>
      <c r="I105" s="28"/>
      <c r="J105" s="28"/>
    </row>
    <row r="106" spans="1:10" s="26" customFormat="1" x14ac:dyDescent="0.2">
      <c r="A106" s="138"/>
      <c r="B106" s="445"/>
      <c r="C106" s="246"/>
      <c r="D106" s="141"/>
      <c r="E106" s="142"/>
      <c r="F106" s="143"/>
      <c r="G106" s="144"/>
      <c r="I106" s="28"/>
      <c r="J106" s="28"/>
    </row>
    <row r="107" spans="1:10" s="26" customFormat="1" x14ac:dyDescent="0.2">
      <c r="A107" s="138"/>
      <c r="B107" s="445"/>
      <c r="C107" s="246"/>
      <c r="D107" s="141"/>
      <c r="E107" s="142"/>
      <c r="F107" s="143"/>
      <c r="G107" s="144"/>
      <c r="I107" s="28"/>
      <c r="J107" s="28"/>
    </row>
    <row r="108" spans="1:10" s="26" customFormat="1" x14ac:dyDescent="0.2">
      <c r="A108" s="138"/>
      <c r="B108" s="445"/>
      <c r="C108" s="246"/>
      <c r="D108" s="141"/>
      <c r="E108" s="142"/>
      <c r="F108" s="143"/>
      <c r="G108" s="144"/>
      <c r="I108" s="28"/>
      <c r="J108" s="28"/>
    </row>
    <row r="109" spans="1:10" s="26" customFormat="1" x14ac:dyDescent="0.2">
      <c r="A109" s="138"/>
      <c r="B109" s="445"/>
      <c r="C109" s="246"/>
      <c r="D109" s="141"/>
      <c r="E109" s="142"/>
      <c r="F109" s="143"/>
      <c r="G109" s="144"/>
      <c r="I109" s="28"/>
      <c r="J109" s="28"/>
    </row>
    <row r="110" spans="1:10" s="26" customFormat="1" x14ac:dyDescent="0.2">
      <c r="A110" s="138"/>
      <c r="B110" s="445"/>
      <c r="C110" s="246"/>
      <c r="D110" s="141"/>
      <c r="E110" s="142"/>
      <c r="F110" s="143"/>
      <c r="G110" s="144"/>
      <c r="I110" s="28"/>
      <c r="J110" s="28"/>
    </row>
    <row r="111" spans="1:10" s="26" customFormat="1" x14ac:dyDescent="0.2">
      <c r="A111" s="138"/>
      <c r="B111" s="445"/>
      <c r="C111" s="246"/>
      <c r="D111" s="141"/>
      <c r="E111" s="142"/>
      <c r="F111" s="143"/>
      <c r="G111" s="144"/>
      <c r="I111" s="28"/>
      <c r="J111" s="28"/>
    </row>
    <row r="112" spans="1:10" s="26" customFormat="1" x14ac:dyDescent="0.2">
      <c r="A112" s="138"/>
      <c r="B112" s="445"/>
      <c r="C112" s="246"/>
      <c r="D112" s="141"/>
      <c r="E112" s="142"/>
      <c r="F112" s="143"/>
      <c r="G112" s="144"/>
      <c r="I112" s="28"/>
      <c r="J112" s="28"/>
    </row>
    <row r="113" spans="1:18" s="26" customFormat="1" x14ac:dyDescent="0.2">
      <c r="A113" s="138"/>
      <c r="B113" s="445"/>
      <c r="C113" s="246"/>
      <c r="D113" s="141"/>
      <c r="E113" s="142"/>
      <c r="F113" s="143"/>
      <c r="G113" s="144"/>
      <c r="I113" s="28"/>
      <c r="J113" s="28"/>
    </row>
    <row r="114" spans="1:18" s="26" customFormat="1" x14ac:dyDescent="0.2">
      <c r="A114" s="138"/>
      <c r="B114" s="445"/>
      <c r="C114" s="246"/>
      <c r="D114" s="141"/>
      <c r="E114" s="142"/>
      <c r="F114" s="143"/>
      <c r="G114" s="144"/>
      <c r="I114" s="28"/>
      <c r="J114" s="28"/>
    </row>
    <row r="115" spans="1:18" s="26" customFormat="1" x14ac:dyDescent="0.2">
      <c r="A115" s="138"/>
      <c r="B115" s="445"/>
      <c r="C115" s="246"/>
      <c r="D115" s="141"/>
      <c r="E115" s="142"/>
      <c r="F115" s="143"/>
      <c r="G115" s="144"/>
      <c r="I115" s="28"/>
      <c r="J115" s="28"/>
    </row>
    <row r="116" spans="1:18" s="26" customFormat="1" x14ac:dyDescent="0.2">
      <c r="A116" s="138"/>
      <c r="B116" s="445"/>
      <c r="C116" s="246"/>
      <c r="D116" s="141"/>
      <c r="E116" s="142"/>
      <c r="F116" s="143"/>
      <c r="G116" s="144"/>
      <c r="I116" s="28"/>
      <c r="J116" s="28"/>
    </row>
    <row r="117" spans="1:18" s="26" customFormat="1" x14ac:dyDescent="0.2">
      <c r="A117" s="138"/>
      <c r="B117" s="445"/>
      <c r="C117" s="246"/>
      <c r="D117" s="141"/>
      <c r="E117" s="142"/>
      <c r="F117" s="143"/>
      <c r="G117" s="144"/>
      <c r="I117" s="28"/>
      <c r="J117" s="28"/>
    </row>
    <row r="118" spans="1:18" s="26" customFormat="1" x14ac:dyDescent="0.2">
      <c r="A118" s="138"/>
      <c r="B118" s="445"/>
      <c r="C118" s="246"/>
      <c r="D118" s="141"/>
      <c r="E118" s="142"/>
      <c r="F118" s="143"/>
      <c r="G118" s="144"/>
      <c r="I118" s="28"/>
      <c r="J118" s="28"/>
    </row>
    <row r="119" spans="1:18" s="26" customFormat="1" x14ac:dyDescent="0.2">
      <c r="A119" s="138"/>
      <c r="B119" s="445"/>
      <c r="C119" s="246"/>
      <c r="D119" s="141"/>
      <c r="E119" s="142"/>
      <c r="F119" s="143"/>
      <c r="G119" s="144"/>
      <c r="I119" s="28"/>
      <c r="J119" s="28"/>
    </row>
    <row r="120" spans="1:18" s="26" customFormat="1" ht="12.75" thickBot="1" x14ac:dyDescent="0.25">
      <c r="A120" s="138"/>
      <c r="B120" s="445"/>
      <c r="C120" s="246"/>
      <c r="D120" s="141"/>
      <c r="E120" s="142"/>
      <c r="F120" s="143"/>
      <c r="G120" s="144">
        <f t="shared" si="3"/>
        <v>0</v>
      </c>
      <c r="I120" s="28"/>
      <c r="J120" s="28"/>
    </row>
    <row r="121" spans="1:18" s="26" customFormat="1" x14ac:dyDescent="0.2">
      <c r="A121" s="114"/>
      <c r="B121" s="115" t="s">
        <v>47</v>
      </c>
      <c r="C121" s="127"/>
      <c r="D121" s="117"/>
      <c r="E121" s="118"/>
      <c r="F121" s="125"/>
      <c r="G121" s="119"/>
    </row>
    <row r="122" spans="1:18" s="26" customFormat="1" ht="12.75" thickBot="1" x14ac:dyDescent="0.25">
      <c r="A122" s="120"/>
      <c r="B122" s="103" t="s">
        <v>48</v>
      </c>
      <c r="C122" s="128"/>
      <c r="D122" s="122"/>
      <c r="E122" s="123"/>
      <c r="F122" s="126"/>
      <c r="G122" s="124">
        <f>SUM(G70:G121)</f>
        <v>0</v>
      </c>
    </row>
    <row r="123" spans="1:18" s="26" customFormat="1" x14ac:dyDescent="0.2">
      <c r="A123" s="247"/>
      <c r="B123" s="455" t="s">
        <v>49</v>
      </c>
      <c r="C123" s="127"/>
      <c r="D123" s="117"/>
      <c r="E123" s="118"/>
      <c r="F123" s="125"/>
      <c r="G123" s="119"/>
    </row>
    <row r="124" spans="1:18" s="26" customFormat="1" x14ac:dyDescent="0.2">
      <c r="A124" s="138" t="s">
        <v>50</v>
      </c>
      <c r="B124" s="69" t="s">
        <v>51</v>
      </c>
      <c r="C124" s="63"/>
      <c r="D124" s="55"/>
      <c r="E124" s="61"/>
      <c r="F124" s="481"/>
      <c r="G124" s="62"/>
    </row>
    <row r="125" spans="1:18" s="26" customFormat="1" ht="28.5" customHeight="1" x14ac:dyDescent="0.25">
      <c r="A125" s="138"/>
      <c r="B125" s="592" t="s">
        <v>229</v>
      </c>
      <c r="C125" s="592"/>
      <c r="D125" s="592"/>
      <c r="E125" s="592"/>
      <c r="F125" s="593"/>
      <c r="G125" s="70"/>
    </row>
    <row r="126" spans="1:18" s="26" customFormat="1" ht="15.75" customHeight="1" x14ac:dyDescent="0.25">
      <c r="A126" s="138"/>
      <c r="B126" s="592" t="s">
        <v>424</v>
      </c>
      <c r="C126" s="592"/>
      <c r="D126" s="592"/>
      <c r="E126" s="592"/>
      <c r="F126" s="593"/>
      <c r="G126" s="70"/>
    </row>
    <row r="127" spans="1:18" s="26" customFormat="1" ht="27" customHeight="1" thickBot="1" x14ac:dyDescent="0.3">
      <c r="A127" s="480"/>
      <c r="B127" s="594" t="s">
        <v>425</v>
      </c>
      <c r="C127" s="594"/>
      <c r="D127" s="594"/>
      <c r="E127" s="594"/>
      <c r="F127" s="595"/>
      <c r="G127" s="456"/>
    </row>
    <row r="128" spans="1:18" s="26" customFormat="1" ht="15" customHeight="1" x14ac:dyDescent="0.2">
      <c r="A128" s="200" t="s">
        <v>155</v>
      </c>
      <c r="B128" s="308" t="s">
        <v>53</v>
      </c>
      <c r="C128" s="448"/>
      <c r="D128" s="202"/>
      <c r="E128" s="203"/>
      <c r="F128" s="449"/>
      <c r="G128" s="450"/>
      <c r="I128" s="26">
        <f>1.8*1.8*4</f>
        <v>12.96</v>
      </c>
      <c r="J128" s="26">
        <f>2*2</f>
        <v>4</v>
      </c>
      <c r="K128" s="26">
        <f>2.2*2.2*2</f>
        <v>9.6800000000000015</v>
      </c>
      <c r="L128" s="26">
        <f>2.5*2.5*2</f>
        <v>12.5</v>
      </c>
      <c r="M128" s="26">
        <f>2.7*2.7*2</f>
        <v>14.580000000000002</v>
      </c>
      <c r="N128" s="26">
        <f>3.1*3.1*2</f>
        <v>19.220000000000002</v>
      </c>
      <c r="O128" s="26">
        <f>2.7*1.5</f>
        <v>4.0500000000000007</v>
      </c>
      <c r="P128" s="26">
        <f>4.55*2.8*2</f>
        <v>25.479999999999997</v>
      </c>
      <c r="Q128" s="26">
        <f>SUM(I128:P128)</f>
        <v>102.47</v>
      </c>
      <c r="R128" s="52">
        <f>Q128</f>
        <v>102.47</v>
      </c>
    </row>
    <row r="129" spans="1:18" s="26" customFormat="1" ht="12" customHeight="1" x14ac:dyDescent="0.25">
      <c r="A129" s="138" t="s">
        <v>186</v>
      </c>
      <c r="B129" s="439" t="s">
        <v>411</v>
      </c>
      <c r="C129" s="425"/>
      <c r="D129" s="426"/>
      <c r="E129" s="451"/>
      <c r="F129" s="452"/>
      <c r="G129" s="453"/>
    </row>
    <row r="130" spans="1:18" s="26" customFormat="1" ht="12" customHeight="1" x14ac:dyDescent="0.2">
      <c r="A130" s="138"/>
      <c r="B130" s="139" t="s">
        <v>412</v>
      </c>
      <c r="C130" s="246" t="s">
        <v>41</v>
      </c>
      <c r="D130" s="141">
        <v>9.6999999999999993</v>
      </c>
      <c r="E130" s="142"/>
      <c r="F130" s="143"/>
      <c r="G130" s="144">
        <f t="shared" ref="G130" si="4">(D130*E130)+(D130*F130)</f>
        <v>0</v>
      </c>
      <c r="I130" s="26">
        <f>7.15+9.15+3.1</f>
        <v>19.400000000000002</v>
      </c>
      <c r="J130" s="26">
        <f>I130*0.5</f>
        <v>9.7000000000000011</v>
      </c>
    </row>
    <row r="131" spans="1:18" s="26" customFormat="1" ht="12" customHeight="1" x14ac:dyDescent="0.2">
      <c r="A131" s="138"/>
      <c r="B131" s="139"/>
      <c r="C131" s="246"/>
      <c r="D131" s="141"/>
      <c r="E131" s="142"/>
      <c r="F131" s="143"/>
      <c r="G131" s="144"/>
    </row>
    <row r="132" spans="1:18" s="26" customFormat="1" ht="15" customHeight="1" x14ac:dyDescent="0.2">
      <c r="A132" s="238" t="s">
        <v>57</v>
      </c>
      <c r="B132" s="454" t="s">
        <v>13</v>
      </c>
      <c r="C132" s="201"/>
      <c r="D132" s="202"/>
      <c r="E132" s="203"/>
      <c r="F132" s="449"/>
      <c r="G132" s="450"/>
      <c r="I132" s="22"/>
      <c r="J132" s="22"/>
      <c r="K132" s="22"/>
      <c r="L132" s="22"/>
      <c r="M132" s="22"/>
      <c r="N132" s="22"/>
      <c r="O132" s="22"/>
      <c r="P132" s="22"/>
      <c r="Q132" s="22"/>
      <c r="R132" s="22"/>
    </row>
    <row r="133" spans="1:18" x14ac:dyDescent="0.2">
      <c r="A133" s="145"/>
      <c r="B133" s="146"/>
      <c r="C133" s="147"/>
      <c r="D133" s="148"/>
      <c r="E133" s="142"/>
      <c r="F133" s="143"/>
      <c r="G133" s="144"/>
    </row>
    <row r="134" spans="1:18" x14ac:dyDescent="0.2">
      <c r="A134" s="131" t="s">
        <v>149</v>
      </c>
      <c r="B134" s="132" t="s">
        <v>56</v>
      </c>
      <c r="C134" s="133"/>
      <c r="D134" s="134"/>
      <c r="E134" s="135"/>
      <c r="F134" s="136"/>
      <c r="G134" s="137"/>
    </row>
    <row r="135" spans="1:18" x14ac:dyDescent="0.2">
      <c r="A135" s="149" t="s">
        <v>422</v>
      </c>
      <c r="B135" s="150" t="s">
        <v>172</v>
      </c>
      <c r="C135" s="151"/>
      <c r="D135" s="152"/>
      <c r="E135" s="153"/>
      <c r="F135" s="154"/>
      <c r="G135" s="155"/>
    </row>
    <row r="136" spans="1:18" ht="13.5" x14ac:dyDescent="0.2">
      <c r="A136" s="145"/>
      <c r="B136" s="146" t="s">
        <v>478</v>
      </c>
      <c r="C136" s="147" t="s">
        <v>139</v>
      </c>
      <c r="D136" s="148">
        <v>0.7</v>
      </c>
      <c r="E136" s="142"/>
      <c r="F136" s="143"/>
      <c r="G136" s="144">
        <f t="shared" ref="G136" si="5">(D136*E136)+(D136*F136)</f>
        <v>0</v>
      </c>
      <c r="I136" s="22">
        <f>0.15*0.15*3.425*9</f>
        <v>0.69356249999999997</v>
      </c>
    </row>
    <row r="137" spans="1:18" x14ac:dyDescent="0.2">
      <c r="A137" s="149" t="s">
        <v>423</v>
      </c>
      <c r="B137" s="150" t="s">
        <v>200</v>
      </c>
      <c r="C137" s="151"/>
      <c r="D137" s="152"/>
      <c r="E137" s="153"/>
      <c r="F137" s="143"/>
      <c r="G137" s="144">
        <f t="shared" ref="G137:G138" si="6">(D137*E137)+(D137*F137)</f>
        <v>0</v>
      </c>
      <c r="I137" s="22">
        <f>7.1*0.18*1.5</f>
        <v>1.9169999999999998</v>
      </c>
      <c r="J137" s="22">
        <f>0.0252*1.415*20</f>
        <v>0.71316000000000002</v>
      </c>
      <c r="K137" s="22">
        <f>3*1.65*0.15</f>
        <v>0.74249999999999983</v>
      </c>
      <c r="L137" s="22">
        <f>SUM(I137:K137)</f>
        <v>3.3726599999999998</v>
      </c>
      <c r="M137" s="22">
        <f>0.34</f>
        <v>0.34</v>
      </c>
      <c r="N137" s="22">
        <f>SUM(L137:M137)</f>
        <v>3.7126599999999996</v>
      </c>
    </row>
    <row r="138" spans="1:18" ht="13.5" x14ac:dyDescent="0.2">
      <c r="A138" s="145"/>
      <c r="B138" s="146" t="s">
        <v>285</v>
      </c>
      <c r="C138" s="147" t="s">
        <v>139</v>
      </c>
      <c r="D138" s="148">
        <v>1.96</v>
      </c>
      <c r="E138" s="142"/>
      <c r="F138" s="143"/>
      <c r="G138" s="144">
        <f t="shared" si="6"/>
        <v>0</v>
      </c>
      <c r="I138" s="22">
        <f>7.1*0.18*1.5</f>
        <v>1.9169999999999998</v>
      </c>
      <c r="J138" s="22">
        <f>0.5*0.3*0.168*1.5</f>
        <v>3.78E-2</v>
      </c>
      <c r="K138" s="22">
        <f>I138+J138</f>
        <v>1.9547999999999999</v>
      </c>
    </row>
    <row r="139" spans="1:18" x14ac:dyDescent="0.2">
      <c r="A139" s="149" t="s">
        <v>486</v>
      </c>
      <c r="B139" s="150" t="s">
        <v>203</v>
      </c>
      <c r="C139" s="151"/>
      <c r="D139" s="152"/>
      <c r="E139" s="153"/>
      <c r="F139" s="143"/>
      <c r="G139" s="144">
        <f t="shared" ref="G139:G140" si="7">(D139*E139)+(D139*F139)</f>
        <v>0</v>
      </c>
    </row>
    <row r="140" spans="1:18" ht="13.5" x14ac:dyDescent="0.2">
      <c r="A140" s="145"/>
      <c r="B140" s="146" t="s">
        <v>390</v>
      </c>
      <c r="C140" s="147" t="s">
        <v>139</v>
      </c>
      <c r="D140" s="148">
        <v>25.4</v>
      </c>
      <c r="E140" s="142"/>
      <c r="F140" s="143"/>
      <c r="G140" s="144">
        <f t="shared" si="7"/>
        <v>0</v>
      </c>
      <c r="I140" s="22">
        <v>246.4</v>
      </c>
      <c r="J140" s="22">
        <f>I140*0.1</f>
        <v>24.64</v>
      </c>
      <c r="K140" s="22">
        <f>7.15+9.15+3.1+2.6</f>
        <v>22.000000000000004</v>
      </c>
      <c r="L140" s="22">
        <f>K140*0.15*0.1*2</f>
        <v>0.66000000000000014</v>
      </c>
      <c r="M140" s="22">
        <f>L140+J140</f>
        <v>25.3</v>
      </c>
    </row>
    <row r="141" spans="1:18" x14ac:dyDescent="0.2">
      <c r="A141" s="145"/>
      <c r="B141" s="146"/>
      <c r="C141" s="147"/>
      <c r="D141" s="148"/>
      <c r="E141" s="142"/>
      <c r="F141" s="143"/>
      <c r="G141" s="144"/>
    </row>
    <row r="142" spans="1:18" x14ac:dyDescent="0.2">
      <c r="A142" s="131" t="s">
        <v>150</v>
      </c>
      <c r="B142" s="132" t="s">
        <v>58</v>
      </c>
      <c r="C142" s="133"/>
      <c r="D142" s="134"/>
      <c r="E142" s="135"/>
      <c r="F142" s="136"/>
      <c r="G142" s="137"/>
    </row>
    <row r="143" spans="1:18" x14ac:dyDescent="0.2">
      <c r="A143" s="149" t="s">
        <v>154</v>
      </c>
      <c r="B143" s="150" t="s">
        <v>286</v>
      </c>
      <c r="C143" s="151"/>
      <c r="D143" s="152"/>
      <c r="E143" s="153"/>
      <c r="F143" s="154"/>
      <c r="G143" s="155"/>
    </row>
    <row r="144" spans="1:18" ht="13.5" x14ac:dyDescent="0.2">
      <c r="A144" s="145"/>
      <c r="B144" s="146" t="s">
        <v>413</v>
      </c>
      <c r="C144" s="147" t="s">
        <v>139</v>
      </c>
      <c r="D144" s="148">
        <v>5.66</v>
      </c>
      <c r="E144" s="142"/>
      <c r="F144" s="143"/>
      <c r="G144" s="144">
        <f t="shared" ref="G144:G145" si="8">(D144*E144)+(D144*F144)</f>
        <v>0</v>
      </c>
      <c r="I144" s="22">
        <f>6.1*2+2.95+6.2*9+3.87+3.93+2</f>
        <v>80.750000000000014</v>
      </c>
      <c r="J144" s="22">
        <f>I144*0.2*0.35</f>
        <v>5.6525000000000007</v>
      </c>
    </row>
    <row r="145" spans="1:16" ht="13.5" x14ac:dyDescent="0.2">
      <c r="A145" s="145"/>
      <c r="B145" s="146" t="s">
        <v>414</v>
      </c>
      <c r="C145" s="147" t="s">
        <v>139</v>
      </c>
      <c r="D145" s="148">
        <v>2.41</v>
      </c>
      <c r="E145" s="142"/>
      <c r="F145" s="143"/>
      <c r="G145" s="144">
        <f t="shared" si="8"/>
        <v>0</v>
      </c>
      <c r="I145" s="22">
        <f>3*3+2.975+1.8*3+2.815*3+3.63*2+3.67*2+3.88+3.82</f>
        <v>48.120000000000005</v>
      </c>
      <c r="J145" s="22">
        <f>I145*0.2*0.25</f>
        <v>2.4060000000000006</v>
      </c>
    </row>
    <row r="146" spans="1:16" x14ac:dyDescent="0.2">
      <c r="A146" s="149" t="s">
        <v>10</v>
      </c>
      <c r="B146" s="150" t="s">
        <v>287</v>
      </c>
      <c r="C146" s="151"/>
      <c r="D146" s="152"/>
      <c r="E146" s="153"/>
      <c r="F146" s="143"/>
      <c r="G146" s="144">
        <f t="shared" ref="G146:G147" si="9">(D146*E146)+(D146*F146)</f>
        <v>0</v>
      </c>
    </row>
    <row r="147" spans="1:16" ht="13.5" x14ac:dyDescent="0.2">
      <c r="A147" s="145"/>
      <c r="B147" s="146" t="s">
        <v>288</v>
      </c>
      <c r="C147" s="147" t="s">
        <v>139</v>
      </c>
      <c r="D147" s="148">
        <v>33.799999999999997</v>
      </c>
      <c r="E147" s="142"/>
      <c r="F147" s="143"/>
      <c r="G147" s="144">
        <f t="shared" si="9"/>
        <v>0</v>
      </c>
      <c r="I147" s="22">
        <f>19.4*10.7</f>
        <v>207.57999999999998</v>
      </c>
      <c r="J147" s="22">
        <f>9.8*3</f>
        <v>29.400000000000002</v>
      </c>
      <c r="K147" s="22">
        <f>SUM(I147:J147)</f>
        <v>236.98</v>
      </c>
      <c r="L147" s="22">
        <f>4.15*2.815</f>
        <v>11.682250000000002</v>
      </c>
      <c r="M147" s="22">
        <f>K147-L147</f>
        <v>225.29774999999998</v>
      </c>
      <c r="N147" s="22">
        <f>M147*0.15</f>
        <v>33.794662499999994</v>
      </c>
      <c r="P147" s="22">
        <f>SUM(N147:O147)</f>
        <v>33.794662499999994</v>
      </c>
    </row>
    <row r="148" spans="1:16" x14ac:dyDescent="0.2">
      <c r="A148" s="149" t="s">
        <v>16</v>
      </c>
      <c r="B148" s="150" t="s">
        <v>172</v>
      </c>
      <c r="C148" s="151"/>
      <c r="D148" s="152"/>
      <c r="E148" s="153"/>
      <c r="F148" s="154"/>
      <c r="G148" s="155"/>
    </row>
    <row r="149" spans="1:16" ht="13.5" x14ac:dyDescent="0.2">
      <c r="A149" s="145"/>
      <c r="B149" s="146" t="s">
        <v>473</v>
      </c>
      <c r="C149" s="147" t="s">
        <v>139</v>
      </c>
      <c r="D149" s="148">
        <v>1.68</v>
      </c>
      <c r="E149" s="142"/>
      <c r="F149" s="143"/>
      <c r="G149" s="144">
        <f t="shared" ref="G149:G155" si="10">(D149*E149)+(D149*F149)</f>
        <v>0</v>
      </c>
      <c r="I149" s="22">
        <f>0.3*0.2*3.5*8</f>
        <v>1.68</v>
      </c>
    </row>
    <row r="150" spans="1:16" ht="13.5" x14ac:dyDescent="0.2">
      <c r="A150" s="145"/>
      <c r="B150" s="146" t="s">
        <v>474</v>
      </c>
      <c r="C150" s="147" t="s">
        <v>139</v>
      </c>
      <c r="D150" s="148">
        <v>0.56000000000000005</v>
      </c>
      <c r="E150" s="142"/>
      <c r="F150" s="143"/>
      <c r="G150" s="144">
        <f t="shared" si="10"/>
        <v>0</v>
      </c>
      <c r="I150" s="22">
        <f>0.4*0.2*3.5*2</f>
        <v>0.56000000000000005</v>
      </c>
    </row>
    <row r="151" spans="1:16" ht="13.5" x14ac:dyDescent="0.2">
      <c r="A151" s="145"/>
      <c r="B151" s="146" t="s">
        <v>475</v>
      </c>
      <c r="C151" s="147" t="s">
        <v>139</v>
      </c>
      <c r="D151" s="148">
        <v>1.575</v>
      </c>
      <c r="E151" s="142"/>
      <c r="F151" s="143"/>
      <c r="G151" s="144">
        <f t="shared" si="10"/>
        <v>0</v>
      </c>
      <c r="I151" s="22">
        <f>0.5*0.225*3.5*4</f>
        <v>1.575</v>
      </c>
    </row>
    <row r="152" spans="1:16" ht="13.5" x14ac:dyDescent="0.2">
      <c r="A152" s="145"/>
      <c r="B152" s="146" t="s">
        <v>476</v>
      </c>
      <c r="C152" s="147" t="s">
        <v>139</v>
      </c>
      <c r="D152" s="148">
        <v>1.75</v>
      </c>
      <c r="E152" s="142"/>
      <c r="F152" s="143"/>
      <c r="G152" s="144">
        <f t="shared" si="10"/>
        <v>0</v>
      </c>
      <c r="I152" s="22">
        <f>0.325*0.325*3.14*6*3.5</f>
        <v>6.9649125000000005</v>
      </c>
      <c r="J152" s="22">
        <f>I152/4</f>
        <v>1.7412281250000001</v>
      </c>
    </row>
    <row r="153" spans="1:16" ht="13.5" x14ac:dyDescent="0.2">
      <c r="A153" s="145"/>
      <c r="B153" s="146" t="s">
        <v>477</v>
      </c>
      <c r="C153" s="147" t="s">
        <v>139</v>
      </c>
      <c r="D153" s="148">
        <v>0.63</v>
      </c>
      <c r="E153" s="142"/>
      <c r="F153" s="143"/>
      <c r="G153" s="144">
        <f t="shared" si="10"/>
        <v>0</v>
      </c>
      <c r="I153" s="22">
        <f>0.15*0.15*3.1*9</f>
        <v>0.62774999999999992</v>
      </c>
    </row>
    <row r="154" spans="1:16" x14ac:dyDescent="0.2">
      <c r="A154" s="149" t="s">
        <v>42</v>
      </c>
      <c r="B154" s="150" t="s">
        <v>200</v>
      </c>
      <c r="C154" s="151"/>
      <c r="D154" s="152"/>
      <c r="E154" s="153"/>
      <c r="F154" s="143"/>
      <c r="G154" s="144">
        <f t="shared" si="10"/>
        <v>0</v>
      </c>
    </row>
    <row r="155" spans="1:16" ht="13.5" x14ac:dyDescent="0.2">
      <c r="A155" s="145"/>
      <c r="B155" s="146" t="s">
        <v>285</v>
      </c>
      <c r="C155" s="147" t="s">
        <v>139</v>
      </c>
      <c r="D155" s="148">
        <v>3.4</v>
      </c>
      <c r="E155" s="142"/>
      <c r="F155" s="143"/>
      <c r="G155" s="144">
        <f t="shared" si="10"/>
        <v>0</v>
      </c>
      <c r="I155" s="22">
        <f>7.1*0.18*1.5</f>
        <v>1.9169999999999998</v>
      </c>
      <c r="J155" s="22">
        <f>0.0252*1.415*20</f>
        <v>0.71316000000000002</v>
      </c>
      <c r="K155" s="22">
        <f>3*1.65*0.15</f>
        <v>0.74249999999999983</v>
      </c>
      <c r="L155" s="22">
        <f>SUM(I155:K155)</f>
        <v>3.3726599999999998</v>
      </c>
    </row>
    <row r="156" spans="1:16" x14ac:dyDescent="0.2">
      <c r="A156" s="145"/>
      <c r="B156" s="146"/>
      <c r="C156" s="147"/>
      <c r="D156" s="148"/>
      <c r="E156" s="142"/>
      <c r="F156" s="143"/>
      <c r="G156" s="144"/>
    </row>
    <row r="157" spans="1:16" x14ac:dyDescent="0.2">
      <c r="A157" s="131" t="s">
        <v>50</v>
      </c>
      <c r="B157" s="132" t="s">
        <v>415</v>
      </c>
      <c r="C157" s="133"/>
      <c r="D157" s="134"/>
      <c r="E157" s="135"/>
      <c r="F157" s="136"/>
      <c r="G157" s="137"/>
    </row>
    <row r="158" spans="1:16" x14ac:dyDescent="0.2">
      <c r="A158" s="149" t="s">
        <v>155</v>
      </c>
      <c r="B158" s="150" t="s">
        <v>286</v>
      </c>
      <c r="C158" s="151"/>
      <c r="D158" s="152"/>
      <c r="E158" s="153"/>
      <c r="F158" s="154"/>
      <c r="G158" s="155"/>
    </row>
    <row r="159" spans="1:16" ht="13.5" x14ac:dyDescent="0.2">
      <c r="A159" s="145"/>
      <c r="B159" s="146" t="s">
        <v>413</v>
      </c>
      <c r="C159" s="147" t="s">
        <v>139</v>
      </c>
      <c r="D159" s="148">
        <v>5.66</v>
      </c>
      <c r="E159" s="142"/>
      <c r="F159" s="143"/>
      <c r="G159" s="144">
        <f t="shared" ref="G159:G162" si="11">(D159*E159)+(D159*F159)</f>
        <v>0</v>
      </c>
      <c r="I159" s="22">
        <f>6.1*2+2.95+6.2*9+3.87+3.93+2</f>
        <v>80.750000000000014</v>
      </c>
      <c r="J159" s="22">
        <f>I159*0.2*0.35</f>
        <v>5.6525000000000007</v>
      </c>
    </row>
    <row r="160" spans="1:16" ht="13.5" x14ac:dyDescent="0.2">
      <c r="A160" s="145"/>
      <c r="B160" s="146" t="s">
        <v>414</v>
      </c>
      <c r="C160" s="147" t="s">
        <v>139</v>
      </c>
      <c r="D160" s="148">
        <v>2.41</v>
      </c>
      <c r="E160" s="142"/>
      <c r="F160" s="143"/>
      <c r="G160" s="144">
        <f t="shared" si="11"/>
        <v>0</v>
      </c>
      <c r="I160" s="22">
        <f>3*3+2.975+1.8*3+2.815*3+3.63*2+3.67*2+3.88+3.82</f>
        <v>48.120000000000005</v>
      </c>
      <c r="J160" s="22">
        <f>I160*0.2*0.25</f>
        <v>2.4060000000000006</v>
      </c>
    </row>
    <row r="161" spans="1:16" x14ac:dyDescent="0.2">
      <c r="A161" s="149" t="s">
        <v>57</v>
      </c>
      <c r="B161" s="150" t="s">
        <v>287</v>
      </c>
      <c r="C161" s="151"/>
      <c r="D161" s="152"/>
      <c r="E161" s="153"/>
      <c r="F161" s="143"/>
      <c r="G161" s="144">
        <f t="shared" si="11"/>
        <v>0</v>
      </c>
    </row>
    <row r="162" spans="1:16" ht="13.5" x14ac:dyDescent="0.2">
      <c r="A162" s="145"/>
      <c r="B162" s="146" t="s">
        <v>288</v>
      </c>
      <c r="C162" s="147" t="s">
        <v>139</v>
      </c>
      <c r="D162" s="148">
        <v>33.799999999999997</v>
      </c>
      <c r="E162" s="142"/>
      <c r="F162" s="143"/>
      <c r="G162" s="144">
        <f t="shared" si="11"/>
        <v>0</v>
      </c>
      <c r="I162" s="22">
        <f>19.4*10.7</f>
        <v>207.57999999999998</v>
      </c>
      <c r="J162" s="22">
        <f>9.8*3</f>
        <v>29.400000000000002</v>
      </c>
      <c r="K162" s="22">
        <f>SUM(I162:J162)</f>
        <v>236.98</v>
      </c>
      <c r="L162" s="22">
        <f>4.15*2.815</f>
        <v>11.682250000000002</v>
      </c>
      <c r="M162" s="22">
        <f>K162-L162</f>
        <v>225.29774999999998</v>
      </c>
      <c r="N162" s="22">
        <f>M162*0.15</f>
        <v>33.794662499999994</v>
      </c>
      <c r="P162" s="22">
        <f>SUM(N162:O162)</f>
        <v>33.794662499999994</v>
      </c>
    </row>
    <row r="163" spans="1:16" x14ac:dyDescent="0.2">
      <c r="A163" s="149" t="s">
        <v>89</v>
      </c>
      <c r="B163" s="150" t="s">
        <v>172</v>
      </c>
      <c r="C163" s="151"/>
      <c r="D163" s="152"/>
      <c r="E163" s="153"/>
      <c r="F163" s="154"/>
      <c r="G163" s="155"/>
    </row>
    <row r="164" spans="1:16" ht="13.5" x14ac:dyDescent="0.2">
      <c r="A164" s="145"/>
      <c r="B164" s="146" t="s">
        <v>473</v>
      </c>
      <c r="C164" s="147" t="s">
        <v>139</v>
      </c>
      <c r="D164" s="148">
        <v>1.68</v>
      </c>
      <c r="E164" s="142"/>
      <c r="F164" s="143"/>
      <c r="G164" s="144">
        <f t="shared" ref="G164:G168" si="12">(D164*E164)+(D164*F164)</f>
        <v>0</v>
      </c>
      <c r="I164" s="22">
        <f>0.3*0.2*3.5*8</f>
        <v>1.68</v>
      </c>
    </row>
    <row r="165" spans="1:16" ht="13.5" x14ac:dyDescent="0.2">
      <c r="A165" s="145"/>
      <c r="B165" s="146" t="s">
        <v>474</v>
      </c>
      <c r="C165" s="147" t="s">
        <v>139</v>
      </c>
      <c r="D165" s="148">
        <v>0.56000000000000005</v>
      </c>
      <c r="E165" s="142"/>
      <c r="F165" s="143"/>
      <c r="G165" s="144">
        <f t="shared" si="12"/>
        <v>0</v>
      </c>
      <c r="I165" s="22">
        <f>0.4*0.2*3.5*2</f>
        <v>0.56000000000000005</v>
      </c>
    </row>
    <row r="166" spans="1:16" ht="13.5" x14ac:dyDescent="0.2">
      <c r="A166" s="145"/>
      <c r="B166" s="146" t="s">
        <v>475</v>
      </c>
      <c r="C166" s="147" t="s">
        <v>139</v>
      </c>
      <c r="D166" s="148">
        <v>1.575</v>
      </c>
      <c r="E166" s="142"/>
      <c r="F166" s="143"/>
      <c r="G166" s="144">
        <f t="shared" si="12"/>
        <v>0</v>
      </c>
      <c r="I166" s="22">
        <f>0.5*0.225*3.5*4</f>
        <v>1.575</v>
      </c>
    </row>
    <row r="167" spans="1:16" ht="13.5" x14ac:dyDescent="0.2">
      <c r="A167" s="145"/>
      <c r="B167" s="146" t="s">
        <v>476</v>
      </c>
      <c r="C167" s="147" t="s">
        <v>139</v>
      </c>
      <c r="D167" s="148">
        <v>1.75</v>
      </c>
      <c r="E167" s="142"/>
      <c r="F167" s="143"/>
      <c r="G167" s="144">
        <f t="shared" si="12"/>
        <v>0</v>
      </c>
      <c r="I167" s="22">
        <f>0.325*0.325*3.14*6*3.5</f>
        <v>6.9649125000000005</v>
      </c>
      <c r="J167" s="22">
        <f>I167/4</f>
        <v>1.7412281250000001</v>
      </c>
    </row>
    <row r="168" spans="1:16" ht="13.5" x14ac:dyDescent="0.2">
      <c r="A168" s="145"/>
      <c r="B168" s="146" t="s">
        <v>477</v>
      </c>
      <c r="C168" s="147" t="s">
        <v>139</v>
      </c>
      <c r="D168" s="148">
        <v>0.63</v>
      </c>
      <c r="E168" s="142"/>
      <c r="F168" s="143"/>
      <c r="G168" s="144">
        <f t="shared" si="12"/>
        <v>0</v>
      </c>
      <c r="I168" s="22">
        <f>0.15*0.15*3.1*9</f>
        <v>0.62774999999999992</v>
      </c>
    </row>
    <row r="169" spans="1:16" x14ac:dyDescent="0.2">
      <c r="A169" s="145"/>
      <c r="B169" s="146"/>
      <c r="C169" s="147"/>
      <c r="D169" s="148"/>
      <c r="E169" s="142"/>
      <c r="F169" s="143"/>
      <c r="G169" s="144"/>
    </row>
    <row r="170" spans="1:16" x14ac:dyDescent="0.2">
      <c r="A170" s="131" t="s">
        <v>151</v>
      </c>
      <c r="B170" s="132" t="s">
        <v>271</v>
      </c>
      <c r="C170" s="133"/>
      <c r="D170" s="134"/>
      <c r="E170" s="135"/>
      <c r="F170" s="136"/>
      <c r="G170" s="137"/>
    </row>
    <row r="171" spans="1:16" x14ac:dyDescent="0.2">
      <c r="A171" s="149" t="s">
        <v>92</v>
      </c>
      <c r="B171" s="150" t="s">
        <v>281</v>
      </c>
      <c r="C171" s="151"/>
      <c r="D171" s="152"/>
      <c r="E171" s="153"/>
      <c r="F171" s="154"/>
      <c r="G171" s="155"/>
    </row>
    <row r="172" spans="1:16" ht="13.5" x14ac:dyDescent="0.2">
      <c r="A172" s="145"/>
      <c r="B172" s="146" t="s">
        <v>417</v>
      </c>
      <c r="C172" s="147" t="s">
        <v>139</v>
      </c>
      <c r="D172" s="148">
        <v>2.95</v>
      </c>
      <c r="E172" s="142"/>
      <c r="F172" s="143"/>
      <c r="G172" s="144">
        <f t="shared" ref="G172:G177" si="13">(D172*E172)+(D172*F172)</f>
        <v>0</v>
      </c>
      <c r="I172" s="22">
        <f>6.2*2+2.815+2.9</f>
        <v>18.114999999999998</v>
      </c>
      <c r="J172" s="22">
        <f>I172*0.2*0.37</f>
        <v>1.3405099999999999</v>
      </c>
      <c r="K172" s="22">
        <f>3.87+3.93+2</f>
        <v>9.8000000000000007</v>
      </c>
      <c r="L172" s="22">
        <f>K172*0.2*0.5</f>
        <v>0.98000000000000009</v>
      </c>
      <c r="M172" s="22">
        <f>6.2*0.5*0.2</f>
        <v>0.62000000000000011</v>
      </c>
      <c r="N172" s="22">
        <f>M172+L172+J172</f>
        <v>2.9405099999999997</v>
      </c>
    </row>
    <row r="173" spans="1:16" ht="13.5" x14ac:dyDescent="0.2">
      <c r="A173" s="145"/>
      <c r="B173" s="146" t="s">
        <v>418</v>
      </c>
      <c r="C173" s="147" t="s">
        <v>139</v>
      </c>
      <c r="D173" s="148">
        <v>0.31</v>
      </c>
      <c r="E173" s="142"/>
      <c r="F173" s="143"/>
      <c r="G173" s="144">
        <f t="shared" si="13"/>
        <v>0</v>
      </c>
      <c r="I173" s="22">
        <f>2.815*2</f>
        <v>5.63</v>
      </c>
      <c r="J173" s="22">
        <f>I173*0.2*0.27</f>
        <v>0.30402000000000007</v>
      </c>
    </row>
    <row r="174" spans="1:16" ht="13.5" x14ac:dyDescent="0.2">
      <c r="A174" s="145"/>
      <c r="B174" s="146" t="s">
        <v>419</v>
      </c>
      <c r="C174" s="147" t="s">
        <v>139</v>
      </c>
      <c r="D174" s="148">
        <v>5.66</v>
      </c>
      <c r="E174" s="142"/>
      <c r="F174" s="143"/>
      <c r="G174" s="144">
        <f t="shared" ref="G174:G175" si="14">(D174*E174)+(D174*F174)</f>
        <v>0</v>
      </c>
      <c r="I174" s="22">
        <f>6.2*5+3.82+3.88+1.8*3+3.67*2+3.63*2+3*2</f>
        <v>64.699999999999989</v>
      </c>
      <c r="J174" s="22">
        <f>I174*0.2*0.4</f>
        <v>5.1759999999999993</v>
      </c>
      <c r="K174" s="22">
        <f>3*0.2*0.4</f>
        <v>0.24000000000000005</v>
      </c>
      <c r="L174" s="22">
        <f>3*0.2*0.4</f>
        <v>0.24000000000000005</v>
      </c>
      <c r="M174" s="22">
        <f>SUM(J174:L174)</f>
        <v>5.6559999999999997</v>
      </c>
    </row>
    <row r="175" spans="1:16" ht="13.5" x14ac:dyDescent="0.2">
      <c r="A175" s="145"/>
      <c r="B175" s="146" t="s">
        <v>432</v>
      </c>
      <c r="C175" s="147" t="s">
        <v>139</v>
      </c>
      <c r="D175" s="148">
        <v>2.31</v>
      </c>
      <c r="E175" s="142"/>
      <c r="F175" s="143"/>
      <c r="G175" s="144">
        <f t="shared" si="14"/>
        <v>0</v>
      </c>
      <c r="I175" s="22">
        <f>6.2*3</f>
        <v>18.600000000000001</v>
      </c>
      <c r="J175" s="22">
        <f>I175*0.225*0.55</f>
        <v>2.3017500000000006</v>
      </c>
    </row>
    <row r="176" spans="1:16" x14ac:dyDescent="0.2">
      <c r="A176" s="149" t="s">
        <v>132</v>
      </c>
      <c r="B176" s="150" t="s">
        <v>421</v>
      </c>
      <c r="C176" s="151"/>
      <c r="D176" s="152"/>
      <c r="E176" s="153"/>
      <c r="F176" s="143"/>
      <c r="G176" s="144">
        <f t="shared" si="13"/>
        <v>0</v>
      </c>
    </row>
    <row r="177" spans="1:13" ht="13.5" x14ac:dyDescent="0.2">
      <c r="A177" s="145"/>
      <c r="B177" s="146" t="s">
        <v>472</v>
      </c>
      <c r="C177" s="147" t="s">
        <v>139</v>
      </c>
      <c r="D177" s="148">
        <v>4.3499999999999996</v>
      </c>
      <c r="E177" s="142"/>
      <c r="F177" s="143"/>
      <c r="G177" s="144">
        <f t="shared" si="13"/>
        <v>0</v>
      </c>
      <c r="I177" s="22">
        <f>9.8*3.415*0.13</f>
        <v>4.3507100000000012</v>
      </c>
    </row>
    <row r="178" spans="1:13" x14ac:dyDescent="0.2">
      <c r="A178" s="145"/>
      <c r="B178" s="146"/>
      <c r="C178" s="147"/>
      <c r="D178" s="148"/>
      <c r="E178" s="142"/>
      <c r="F178" s="143"/>
      <c r="G178" s="144"/>
    </row>
    <row r="179" spans="1:13" x14ac:dyDescent="0.2">
      <c r="A179" s="145"/>
      <c r="B179" s="146"/>
      <c r="C179" s="147"/>
      <c r="D179" s="148"/>
      <c r="E179" s="142"/>
      <c r="F179" s="143"/>
      <c r="G179" s="144"/>
    </row>
    <row r="180" spans="1:13" x14ac:dyDescent="0.2">
      <c r="A180" s="145"/>
      <c r="B180" s="146"/>
      <c r="C180" s="147"/>
      <c r="D180" s="148"/>
      <c r="E180" s="142"/>
      <c r="F180" s="143"/>
      <c r="G180" s="144"/>
    </row>
    <row r="181" spans="1:13" x14ac:dyDescent="0.2">
      <c r="A181" s="145"/>
      <c r="B181" s="146"/>
      <c r="C181" s="147"/>
      <c r="D181" s="148"/>
      <c r="E181" s="142"/>
      <c r="F181" s="143"/>
      <c r="G181" s="144"/>
    </row>
    <row r="182" spans="1:13" x14ac:dyDescent="0.2">
      <c r="A182" s="145"/>
      <c r="B182" s="146"/>
      <c r="C182" s="147"/>
      <c r="D182" s="148"/>
      <c r="E182" s="142"/>
      <c r="F182" s="143"/>
      <c r="G182" s="144"/>
    </row>
    <row r="183" spans="1:13" x14ac:dyDescent="0.2">
      <c r="A183" s="145"/>
      <c r="B183" s="146"/>
      <c r="C183" s="147"/>
      <c r="D183" s="148"/>
      <c r="E183" s="142"/>
      <c r="F183" s="143"/>
      <c r="G183" s="144"/>
    </row>
    <row r="184" spans="1:13" x14ac:dyDescent="0.2">
      <c r="A184" s="145"/>
      <c r="B184" s="146"/>
      <c r="C184" s="147"/>
      <c r="D184" s="148"/>
      <c r="E184" s="142"/>
      <c r="F184" s="143"/>
      <c r="G184" s="144"/>
    </row>
    <row r="185" spans="1:13" x14ac:dyDescent="0.2">
      <c r="A185" s="145"/>
      <c r="B185" s="146"/>
      <c r="C185" s="147"/>
      <c r="D185" s="148"/>
      <c r="E185" s="142"/>
      <c r="F185" s="143"/>
      <c r="G185" s="144"/>
    </row>
    <row r="186" spans="1:13" x14ac:dyDescent="0.2">
      <c r="A186" s="466"/>
      <c r="B186" s="467"/>
      <c r="C186" s="468"/>
      <c r="D186" s="469"/>
      <c r="E186" s="470"/>
      <c r="F186" s="471"/>
      <c r="G186" s="472"/>
    </row>
    <row r="187" spans="1:13" x14ac:dyDescent="0.2">
      <c r="A187" s="460" t="s">
        <v>60</v>
      </c>
      <c r="B187" s="461" t="s">
        <v>12</v>
      </c>
      <c r="C187" s="462"/>
      <c r="D187" s="463"/>
      <c r="E187" s="464"/>
      <c r="F187" s="463"/>
      <c r="G187" s="465"/>
      <c r="M187" s="22" t="e">
        <f>#REF!-#REF!</f>
        <v>#REF!</v>
      </c>
    </row>
    <row r="188" spans="1:13" ht="15.75" customHeight="1" x14ac:dyDescent="0.2">
      <c r="A188" s="457"/>
      <c r="B188" s="597" t="s">
        <v>130</v>
      </c>
      <c r="C188" s="598"/>
      <c r="D188" s="598"/>
      <c r="E188" s="598"/>
      <c r="F188" s="599"/>
      <c r="G188" s="458"/>
    </row>
    <row r="189" spans="1:13" ht="36.75" customHeight="1" x14ac:dyDescent="0.2">
      <c r="A189" s="58"/>
      <c r="B189" s="600" t="s">
        <v>61</v>
      </c>
      <c r="C189" s="601"/>
      <c r="D189" s="601"/>
      <c r="E189" s="601"/>
      <c r="F189" s="602"/>
      <c r="G189" s="73"/>
    </row>
    <row r="190" spans="1:13" ht="25.5" customHeight="1" x14ac:dyDescent="0.2">
      <c r="A190" s="58"/>
      <c r="B190" s="600" t="s">
        <v>62</v>
      </c>
      <c r="C190" s="601"/>
      <c r="D190" s="601"/>
      <c r="E190" s="601"/>
      <c r="F190" s="602"/>
      <c r="G190" s="73"/>
    </row>
    <row r="191" spans="1:13" ht="28.5" customHeight="1" x14ac:dyDescent="0.2">
      <c r="A191" s="459"/>
      <c r="B191" s="589" t="s">
        <v>63</v>
      </c>
      <c r="C191" s="590"/>
      <c r="D191" s="590"/>
      <c r="E191" s="590"/>
      <c r="F191" s="591"/>
      <c r="G191" s="230"/>
    </row>
    <row r="192" spans="1:13" x14ac:dyDescent="0.2">
      <c r="A192" s="145"/>
      <c r="B192" s="146"/>
      <c r="C192" s="147"/>
      <c r="D192" s="148"/>
      <c r="E192" s="142"/>
      <c r="F192" s="143"/>
      <c r="G192" s="144"/>
    </row>
    <row r="193" spans="1:16" x14ac:dyDescent="0.2">
      <c r="A193" s="131" t="s">
        <v>149</v>
      </c>
      <c r="B193" s="132" t="s">
        <v>56</v>
      </c>
      <c r="C193" s="133"/>
      <c r="D193" s="134"/>
      <c r="E193" s="135"/>
      <c r="F193" s="136"/>
      <c r="G193" s="137"/>
    </row>
    <row r="194" spans="1:16" x14ac:dyDescent="0.2">
      <c r="A194" s="149" t="s">
        <v>422</v>
      </c>
      <c r="B194" s="150" t="s">
        <v>172</v>
      </c>
      <c r="C194" s="151"/>
      <c r="D194" s="152"/>
      <c r="E194" s="153"/>
      <c r="F194" s="154"/>
      <c r="G194" s="155"/>
    </row>
    <row r="195" spans="1:16" ht="13.5" x14ac:dyDescent="0.2">
      <c r="A195" s="145"/>
      <c r="B195" s="146" t="s">
        <v>478</v>
      </c>
      <c r="C195" s="140" t="s">
        <v>141</v>
      </c>
      <c r="D195" s="148">
        <v>17.7</v>
      </c>
      <c r="E195" s="142"/>
      <c r="F195" s="143"/>
      <c r="G195" s="144">
        <f t="shared" ref="G195:G199" si="15">(D195*E195)+(D195*F195)</f>
        <v>0</v>
      </c>
      <c r="I195" s="22">
        <f>0.15*4*3.29*9</f>
        <v>17.765999999999998</v>
      </c>
    </row>
    <row r="196" spans="1:16" x14ac:dyDescent="0.2">
      <c r="A196" s="149" t="s">
        <v>423</v>
      </c>
      <c r="B196" s="150" t="s">
        <v>200</v>
      </c>
      <c r="C196" s="151"/>
      <c r="D196" s="152"/>
      <c r="E196" s="153"/>
      <c r="F196" s="143"/>
      <c r="G196" s="144">
        <f t="shared" si="15"/>
        <v>0</v>
      </c>
      <c r="I196" s="22">
        <f>7.1*1.86</f>
        <v>13.206</v>
      </c>
      <c r="J196" s="22">
        <f>0.169*1.5*20</f>
        <v>5.07</v>
      </c>
      <c r="K196" s="22">
        <f>3.15*1.8</f>
        <v>5.67</v>
      </c>
      <c r="L196" s="22">
        <f>SUM(I196:K196)</f>
        <v>23.945999999999998</v>
      </c>
      <c r="M196" s="22">
        <f>1.65*2*0.75</f>
        <v>2.4749999999999996</v>
      </c>
      <c r="N196" s="22">
        <f>SUM(L196:M196)</f>
        <v>26.420999999999999</v>
      </c>
    </row>
    <row r="197" spans="1:16" ht="13.5" x14ac:dyDescent="0.2">
      <c r="A197" s="145"/>
      <c r="B197" s="146" t="s">
        <v>285</v>
      </c>
      <c r="C197" s="140" t="s">
        <v>141</v>
      </c>
      <c r="D197" s="148">
        <v>10.65</v>
      </c>
      <c r="E197" s="142"/>
      <c r="F197" s="143"/>
      <c r="G197" s="144">
        <f t="shared" si="15"/>
        <v>0</v>
      </c>
      <c r="I197" s="22">
        <f>7.1*1.5</f>
        <v>10.649999999999999</v>
      </c>
    </row>
    <row r="198" spans="1:16" x14ac:dyDescent="0.2">
      <c r="A198" s="149" t="s">
        <v>486</v>
      </c>
      <c r="B198" s="150" t="s">
        <v>203</v>
      </c>
      <c r="C198" s="151"/>
      <c r="D198" s="152"/>
      <c r="E198" s="153"/>
      <c r="F198" s="143"/>
      <c r="G198" s="144">
        <f t="shared" si="15"/>
        <v>0</v>
      </c>
    </row>
    <row r="199" spans="1:16" ht="13.5" x14ac:dyDescent="0.2">
      <c r="A199" s="145"/>
      <c r="B199" s="146" t="s">
        <v>390</v>
      </c>
      <c r="C199" s="147" t="s">
        <v>139</v>
      </c>
      <c r="D199" s="148">
        <v>8</v>
      </c>
      <c r="E199" s="142"/>
      <c r="F199" s="143"/>
      <c r="G199" s="144">
        <f t="shared" si="15"/>
        <v>0</v>
      </c>
      <c r="I199" s="22">
        <f>19.4+10.7+19.4+I130</f>
        <v>68.900000000000006</v>
      </c>
      <c r="J199" s="22">
        <f>I199*0.1</f>
        <v>6.8900000000000006</v>
      </c>
    </row>
    <row r="200" spans="1:16" x14ac:dyDescent="0.2">
      <c r="A200" s="145"/>
      <c r="B200" s="146"/>
      <c r="C200" s="147"/>
      <c r="D200" s="148"/>
      <c r="E200" s="142"/>
      <c r="F200" s="143"/>
      <c r="G200" s="144"/>
    </row>
    <row r="201" spans="1:16" x14ac:dyDescent="0.2">
      <c r="A201" s="145"/>
      <c r="B201" s="146"/>
      <c r="C201" s="147"/>
      <c r="D201" s="148"/>
      <c r="E201" s="142"/>
      <c r="F201" s="143"/>
      <c r="G201" s="144"/>
    </row>
    <row r="202" spans="1:16" x14ac:dyDescent="0.2">
      <c r="A202" s="131" t="s">
        <v>150</v>
      </c>
      <c r="B202" s="132" t="s">
        <v>58</v>
      </c>
      <c r="C202" s="133"/>
      <c r="D202" s="134"/>
      <c r="E202" s="135"/>
      <c r="F202" s="136"/>
      <c r="G202" s="137"/>
    </row>
    <row r="203" spans="1:16" x14ac:dyDescent="0.2">
      <c r="A203" s="149" t="s">
        <v>154</v>
      </c>
      <c r="B203" s="150" t="s">
        <v>286</v>
      </c>
      <c r="C203" s="151"/>
      <c r="D203" s="152"/>
      <c r="E203" s="153"/>
      <c r="F203" s="154"/>
      <c r="G203" s="155"/>
    </row>
    <row r="204" spans="1:16" ht="13.5" x14ac:dyDescent="0.2">
      <c r="A204" s="145"/>
      <c r="B204" s="146" t="s">
        <v>413</v>
      </c>
      <c r="C204" s="140" t="s">
        <v>141</v>
      </c>
      <c r="D204" s="148">
        <v>88</v>
      </c>
      <c r="E204" s="142"/>
      <c r="F204" s="143"/>
      <c r="G204" s="144">
        <f t="shared" ref="G204:G207" si="16">(D204*E204)+(D204*F204)</f>
        <v>0</v>
      </c>
      <c r="I204" s="22">
        <f>6.1*2+2.95+6.2*9+3.87+3.93+2</f>
        <v>80.750000000000014</v>
      </c>
      <c r="J204" s="22">
        <f>I204*1</f>
        <v>80.750000000000014</v>
      </c>
      <c r="K204" s="22">
        <f>19.4+10.7+9.8+4.2*2</f>
        <v>48.3</v>
      </c>
      <c r="L204" s="22">
        <f>K204*0.15</f>
        <v>7.2449999999999992</v>
      </c>
      <c r="M204" s="22">
        <f>L204+J204</f>
        <v>87.995000000000019</v>
      </c>
    </row>
    <row r="205" spans="1:16" ht="13.5" x14ac:dyDescent="0.2">
      <c r="A205" s="145"/>
      <c r="B205" s="146" t="s">
        <v>414</v>
      </c>
      <c r="C205" s="140" t="s">
        <v>141</v>
      </c>
      <c r="D205" s="148">
        <v>42.15</v>
      </c>
      <c r="E205" s="142"/>
      <c r="F205" s="143"/>
      <c r="G205" s="144">
        <f t="shared" si="16"/>
        <v>0</v>
      </c>
      <c r="I205" s="22">
        <f>3*3+2.975+1.8*3+2.815*3+3.63*2+3.67*2+3.88+3.82</f>
        <v>48.120000000000005</v>
      </c>
      <c r="J205" s="22">
        <f>I205*0.8</f>
        <v>38.496000000000009</v>
      </c>
      <c r="K205" s="22">
        <f>10.7+3*2+7.6</f>
        <v>24.299999999999997</v>
      </c>
      <c r="L205" s="22">
        <f>K205*0.15</f>
        <v>3.6449999999999996</v>
      </c>
      <c r="M205" s="22">
        <f>L205+J205</f>
        <v>42.141000000000005</v>
      </c>
    </row>
    <row r="206" spans="1:16" x14ac:dyDescent="0.2">
      <c r="A206" s="149" t="s">
        <v>10</v>
      </c>
      <c r="B206" s="150" t="s">
        <v>287</v>
      </c>
      <c r="C206" s="151"/>
      <c r="D206" s="152"/>
      <c r="E206" s="153"/>
      <c r="F206" s="143"/>
      <c r="G206" s="144">
        <f t="shared" si="16"/>
        <v>0</v>
      </c>
    </row>
    <row r="207" spans="1:16" ht="13.5" x14ac:dyDescent="0.2">
      <c r="A207" s="145"/>
      <c r="B207" s="146" t="s">
        <v>288</v>
      </c>
      <c r="C207" s="140" t="s">
        <v>141</v>
      </c>
      <c r="D207" s="148">
        <v>229.1</v>
      </c>
      <c r="E207" s="142"/>
      <c r="F207" s="143"/>
      <c r="G207" s="144">
        <f t="shared" si="16"/>
        <v>0</v>
      </c>
      <c r="I207" s="22">
        <f>19.4*10.7</f>
        <v>207.57999999999998</v>
      </c>
      <c r="J207" s="22">
        <f>9.8*3</f>
        <v>29.400000000000002</v>
      </c>
      <c r="K207" s="22">
        <f>SUM(I207:J207)</f>
        <v>236.98</v>
      </c>
      <c r="L207" s="22">
        <f>4.15*2.815</f>
        <v>11.682250000000002</v>
      </c>
      <c r="M207" s="22">
        <f>K207-L207</f>
        <v>225.29774999999998</v>
      </c>
      <c r="N207" s="22">
        <f>1.9*2</f>
        <v>3.8</v>
      </c>
      <c r="P207" s="22">
        <f>SUM(M207:N207)</f>
        <v>229.09774999999999</v>
      </c>
    </row>
    <row r="208" spans="1:16" x14ac:dyDescent="0.2">
      <c r="A208" s="149" t="s">
        <v>16</v>
      </c>
      <c r="B208" s="150" t="s">
        <v>172</v>
      </c>
      <c r="C208" s="151"/>
      <c r="D208" s="152"/>
      <c r="E208" s="153"/>
      <c r="F208" s="154"/>
      <c r="G208" s="155"/>
    </row>
    <row r="209" spans="1:16" ht="13.5" x14ac:dyDescent="0.2">
      <c r="A209" s="145"/>
      <c r="B209" s="146" t="s">
        <v>473</v>
      </c>
      <c r="C209" s="140" t="s">
        <v>141</v>
      </c>
      <c r="D209" s="148">
        <v>28</v>
      </c>
      <c r="E209" s="142"/>
      <c r="F209" s="143"/>
      <c r="G209" s="144">
        <f t="shared" ref="G209:G213" si="17">(D209*E209)+(D209*F209)</f>
        <v>0</v>
      </c>
      <c r="I209" s="22">
        <f>0.5*2*3.5*8</f>
        <v>28</v>
      </c>
    </row>
    <row r="210" spans="1:16" ht="13.5" x14ac:dyDescent="0.2">
      <c r="A210" s="145"/>
      <c r="B210" s="146" t="s">
        <v>474</v>
      </c>
      <c r="C210" s="140" t="s">
        <v>141</v>
      </c>
      <c r="D210" s="148">
        <v>8.4</v>
      </c>
      <c r="E210" s="142"/>
      <c r="F210" s="143"/>
      <c r="G210" s="144">
        <f t="shared" si="17"/>
        <v>0</v>
      </c>
      <c r="I210" s="22">
        <f>0.6*2*3.5*2</f>
        <v>8.4</v>
      </c>
    </row>
    <row r="211" spans="1:16" ht="13.5" x14ac:dyDescent="0.2">
      <c r="A211" s="145"/>
      <c r="B211" s="146" t="s">
        <v>475</v>
      </c>
      <c r="C211" s="140" t="s">
        <v>141</v>
      </c>
      <c r="D211" s="148">
        <v>20.3</v>
      </c>
      <c r="E211" s="142"/>
      <c r="F211" s="143"/>
      <c r="G211" s="144">
        <f t="shared" si="17"/>
        <v>0</v>
      </c>
      <c r="I211" s="22">
        <f>0.725*2*3.5*4</f>
        <v>20.3</v>
      </c>
    </row>
    <row r="212" spans="1:16" ht="13.5" x14ac:dyDescent="0.2">
      <c r="A212" s="145"/>
      <c r="B212" s="146" t="s">
        <v>476</v>
      </c>
      <c r="C212" s="140" t="s">
        <v>141</v>
      </c>
      <c r="D212" s="148">
        <v>21.43</v>
      </c>
      <c r="E212" s="142"/>
      <c r="F212" s="143"/>
      <c r="G212" s="144">
        <f t="shared" si="17"/>
        <v>0</v>
      </c>
      <c r="I212" s="22">
        <f>3.14*0.325*3.5*6</f>
        <v>21.430500000000002</v>
      </c>
    </row>
    <row r="213" spans="1:16" ht="13.5" x14ac:dyDescent="0.2">
      <c r="A213" s="145"/>
      <c r="B213" s="146" t="s">
        <v>477</v>
      </c>
      <c r="C213" s="140" t="s">
        <v>141</v>
      </c>
      <c r="D213" s="148">
        <v>16.739999999999998</v>
      </c>
      <c r="E213" s="142"/>
      <c r="F213" s="143"/>
      <c r="G213" s="144">
        <f t="shared" si="17"/>
        <v>0</v>
      </c>
      <c r="I213" s="22">
        <f>0.15*4*3.1*9</f>
        <v>16.739999999999998</v>
      </c>
    </row>
    <row r="214" spans="1:16" x14ac:dyDescent="0.2">
      <c r="A214" s="149" t="s">
        <v>42</v>
      </c>
      <c r="B214" s="150" t="s">
        <v>200</v>
      </c>
      <c r="C214" s="151"/>
      <c r="D214" s="152"/>
      <c r="E214" s="153"/>
      <c r="F214" s="143"/>
      <c r="G214" s="144">
        <f t="shared" ref="G214:G215" si="18">(D214*E214)+(D214*F214)</f>
        <v>0</v>
      </c>
    </row>
    <row r="215" spans="1:16" ht="13.5" x14ac:dyDescent="0.2">
      <c r="A215" s="145"/>
      <c r="B215" s="146" t="s">
        <v>285</v>
      </c>
      <c r="C215" s="140" t="s">
        <v>141</v>
      </c>
      <c r="D215" s="148">
        <v>23.95</v>
      </c>
      <c r="E215" s="142"/>
      <c r="F215" s="143"/>
      <c r="G215" s="144">
        <f t="shared" si="18"/>
        <v>0</v>
      </c>
      <c r="I215" s="22">
        <f>7.1*1.86</f>
        <v>13.206</v>
      </c>
      <c r="J215" s="22">
        <f>0.169*1.5*20</f>
        <v>5.07</v>
      </c>
      <c r="K215" s="22">
        <f>3.15*1.8</f>
        <v>5.67</v>
      </c>
      <c r="L215" s="22">
        <f>SUM(I215:K215)</f>
        <v>23.945999999999998</v>
      </c>
    </row>
    <row r="216" spans="1:16" x14ac:dyDescent="0.2">
      <c r="A216" s="145"/>
      <c r="B216" s="146"/>
      <c r="C216" s="140"/>
      <c r="D216" s="148"/>
      <c r="E216" s="142"/>
      <c r="F216" s="143"/>
      <c r="G216" s="144"/>
    </row>
    <row r="217" spans="1:16" x14ac:dyDescent="0.2">
      <c r="A217" s="131" t="s">
        <v>50</v>
      </c>
      <c r="B217" s="132" t="s">
        <v>415</v>
      </c>
      <c r="C217" s="133"/>
      <c r="D217" s="134"/>
      <c r="E217" s="135"/>
      <c r="F217" s="136"/>
      <c r="G217" s="137"/>
    </row>
    <row r="218" spans="1:16" x14ac:dyDescent="0.2">
      <c r="A218" s="149" t="s">
        <v>155</v>
      </c>
      <c r="B218" s="150" t="s">
        <v>286</v>
      </c>
      <c r="C218" s="151"/>
      <c r="D218" s="152"/>
      <c r="E218" s="153"/>
      <c r="F218" s="154"/>
      <c r="G218" s="155"/>
    </row>
    <row r="219" spans="1:16" ht="13.5" x14ac:dyDescent="0.2">
      <c r="A219" s="145"/>
      <c r="B219" s="146" t="s">
        <v>413</v>
      </c>
      <c r="C219" s="140" t="s">
        <v>141</v>
      </c>
      <c r="D219" s="148">
        <v>88</v>
      </c>
      <c r="E219" s="142"/>
      <c r="F219" s="143"/>
      <c r="G219" s="144">
        <f t="shared" ref="G219:G222" si="19">(D219*E219)+(D219*F219)</f>
        <v>0</v>
      </c>
      <c r="I219" s="22">
        <f>6.1*2+2.95+6.2*9+3.87+3.93+2</f>
        <v>80.750000000000014</v>
      </c>
      <c r="J219" s="22">
        <f>I219*1</f>
        <v>80.750000000000014</v>
      </c>
      <c r="K219" s="22">
        <f>19.4+10.7+9.8+4.2*2</f>
        <v>48.3</v>
      </c>
      <c r="L219" s="22">
        <f>K219*0.15</f>
        <v>7.2449999999999992</v>
      </c>
      <c r="M219" s="22">
        <f>L219+J219</f>
        <v>87.995000000000019</v>
      </c>
    </row>
    <row r="220" spans="1:16" ht="13.5" x14ac:dyDescent="0.2">
      <c r="A220" s="145"/>
      <c r="B220" s="146" t="s">
        <v>414</v>
      </c>
      <c r="C220" s="140" t="s">
        <v>141</v>
      </c>
      <c r="D220" s="148">
        <v>42.15</v>
      </c>
      <c r="E220" s="142"/>
      <c r="F220" s="143"/>
      <c r="G220" s="144">
        <f t="shared" si="19"/>
        <v>0</v>
      </c>
      <c r="I220" s="22">
        <f>3*3+2.975+1.8*3+2.815*3+3.63*2+3.67*2+3.88+3.82</f>
        <v>48.120000000000005</v>
      </c>
      <c r="J220" s="22">
        <f>I220*0.8</f>
        <v>38.496000000000009</v>
      </c>
      <c r="K220" s="22">
        <f>10.7+3*2+7.6</f>
        <v>24.299999999999997</v>
      </c>
      <c r="L220" s="22">
        <f>K220*0.15</f>
        <v>3.6449999999999996</v>
      </c>
      <c r="M220" s="22">
        <f>L220+J220</f>
        <v>42.141000000000005</v>
      </c>
    </row>
    <row r="221" spans="1:16" x14ac:dyDescent="0.2">
      <c r="A221" s="149" t="s">
        <v>57</v>
      </c>
      <c r="B221" s="150" t="s">
        <v>287</v>
      </c>
      <c r="C221" s="151"/>
      <c r="D221" s="152"/>
      <c r="E221" s="153"/>
      <c r="F221" s="143"/>
      <c r="G221" s="144">
        <f t="shared" si="19"/>
        <v>0</v>
      </c>
    </row>
    <row r="222" spans="1:16" ht="13.5" x14ac:dyDescent="0.2">
      <c r="A222" s="145"/>
      <c r="B222" s="146" t="s">
        <v>288</v>
      </c>
      <c r="C222" s="140" t="s">
        <v>141</v>
      </c>
      <c r="D222" s="148">
        <v>229.1</v>
      </c>
      <c r="E222" s="142"/>
      <c r="F222" s="143"/>
      <c r="G222" s="144">
        <f t="shared" si="19"/>
        <v>0</v>
      </c>
      <c r="I222" s="22">
        <f>19.4*10.7</f>
        <v>207.57999999999998</v>
      </c>
      <c r="J222" s="22">
        <f>9.8*3</f>
        <v>29.400000000000002</v>
      </c>
      <c r="K222" s="22">
        <f>SUM(I222:J222)</f>
        <v>236.98</v>
      </c>
      <c r="L222" s="22">
        <f>4.15*2.815</f>
        <v>11.682250000000002</v>
      </c>
      <c r="M222" s="22">
        <f>K222-L222</f>
        <v>225.29774999999998</v>
      </c>
      <c r="N222" s="22">
        <f>1.9*2</f>
        <v>3.8</v>
      </c>
      <c r="P222" s="22">
        <f>SUM(M222:N222)</f>
        <v>229.09774999999999</v>
      </c>
    </row>
    <row r="223" spans="1:16" x14ac:dyDescent="0.2">
      <c r="A223" s="149" t="s">
        <v>60</v>
      </c>
      <c r="B223" s="150" t="s">
        <v>172</v>
      </c>
      <c r="C223" s="151"/>
      <c r="D223" s="152"/>
      <c r="E223" s="153"/>
      <c r="F223" s="154"/>
      <c r="G223" s="155"/>
    </row>
    <row r="224" spans="1:16" ht="13.5" x14ac:dyDescent="0.2">
      <c r="A224" s="145"/>
      <c r="B224" s="146" t="s">
        <v>473</v>
      </c>
      <c r="C224" s="140" t="s">
        <v>141</v>
      </c>
      <c r="D224" s="148">
        <v>28</v>
      </c>
      <c r="E224" s="142"/>
      <c r="F224" s="143"/>
      <c r="G224" s="144">
        <f t="shared" ref="G224:G228" si="20">(D224*E224)+(D224*F224)</f>
        <v>0</v>
      </c>
      <c r="I224" s="22">
        <f>0.5*2*3.5*8</f>
        <v>28</v>
      </c>
    </row>
    <row r="225" spans="1:14" ht="13.5" x14ac:dyDescent="0.2">
      <c r="A225" s="145"/>
      <c r="B225" s="146" t="s">
        <v>474</v>
      </c>
      <c r="C225" s="140" t="s">
        <v>141</v>
      </c>
      <c r="D225" s="148">
        <v>8.4</v>
      </c>
      <c r="E225" s="142"/>
      <c r="F225" s="143"/>
      <c r="G225" s="144">
        <f t="shared" si="20"/>
        <v>0</v>
      </c>
      <c r="I225" s="22">
        <f>0.6*2*3.5*2</f>
        <v>8.4</v>
      </c>
    </row>
    <row r="226" spans="1:14" ht="13.5" x14ac:dyDescent="0.2">
      <c r="A226" s="145"/>
      <c r="B226" s="146" t="s">
        <v>475</v>
      </c>
      <c r="C226" s="140" t="s">
        <v>141</v>
      </c>
      <c r="D226" s="148">
        <v>20.3</v>
      </c>
      <c r="E226" s="142"/>
      <c r="F226" s="143"/>
      <c r="G226" s="144">
        <f t="shared" si="20"/>
        <v>0</v>
      </c>
      <c r="I226" s="22">
        <f>0.725*2*3.5*4</f>
        <v>20.3</v>
      </c>
    </row>
    <row r="227" spans="1:14" ht="13.5" x14ac:dyDescent="0.2">
      <c r="A227" s="145"/>
      <c r="B227" s="146" t="s">
        <v>476</v>
      </c>
      <c r="C227" s="140" t="s">
        <v>141</v>
      </c>
      <c r="D227" s="148">
        <v>21.43</v>
      </c>
      <c r="E227" s="142"/>
      <c r="F227" s="143"/>
      <c r="G227" s="144">
        <f t="shared" si="20"/>
        <v>0</v>
      </c>
      <c r="I227" s="22">
        <f>3.14*0.325*3.5*6</f>
        <v>21.430500000000002</v>
      </c>
    </row>
    <row r="228" spans="1:14" ht="13.5" x14ac:dyDescent="0.2">
      <c r="A228" s="145"/>
      <c r="B228" s="146" t="s">
        <v>477</v>
      </c>
      <c r="C228" s="140" t="s">
        <v>141</v>
      </c>
      <c r="D228" s="148">
        <v>16.739999999999998</v>
      </c>
      <c r="E228" s="142"/>
      <c r="F228" s="143"/>
      <c r="G228" s="144">
        <f t="shared" si="20"/>
        <v>0</v>
      </c>
      <c r="I228" s="22">
        <f>0.15*4*3.1*9</f>
        <v>16.739999999999998</v>
      </c>
    </row>
    <row r="229" spans="1:14" x14ac:dyDescent="0.2">
      <c r="A229" s="149"/>
      <c r="B229" s="146"/>
      <c r="C229" s="140"/>
      <c r="D229" s="148"/>
      <c r="E229" s="142"/>
      <c r="F229" s="143"/>
      <c r="G229" s="144"/>
    </row>
    <row r="230" spans="1:14" x14ac:dyDescent="0.2">
      <c r="A230" s="131" t="s">
        <v>151</v>
      </c>
      <c r="B230" s="132" t="s">
        <v>271</v>
      </c>
      <c r="C230" s="133"/>
      <c r="D230" s="134"/>
      <c r="E230" s="135"/>
      <c r="F230" s="136"/>
      <c r="G230" s="137"/>
    </row>
    <row r="231" spans="1:14" x14ac:dyDescent="0.2">
      <c r="A231" s="149" t="s">
        <v>92</v>
      </c>
      <c r="B231" s="150" t="s">
        <v>281</v>
      </c>
      <c r="C231" s="151"/>
      <c r="D231" s="152"/>
      <c r="E231" s="153"/>
      <c r="F231" s="154"/>
      <c r="G231" s="155"/>
    </row>
    <row r="232" spans="1:14" ht="13.5" x14ac:dyDescent="0.2">
      <c r="A232" s="145"/>
      <c r="B232" s="146" t="s">
        <v>417</v>
      </c>
      <c r="C232" s="140" t="s">
        <v>141</v>
      </c>
      <c r="D232" s="148">
        <v>51.75</v>
      </c>
      <c r="E232" s="142"/>
      <c r="F232" s="143"/>
      <c r="G232" s="144">
        <f t="shared" ref="G232:G237" si="21">(D232*E232)+(D232*F232)</f>
        <v>0</v>
      </c>
      <c r="I232" s="22">
        <f>6.1*2+2.815</f>
        <v>15.014999999999999</v>
      </c>
      <c r="J232" s="22">
        <f>I232*1.17</f>
        <v>17.567549999999997</v>
      </c>
      <c r="K232" s="22">
        <f>3+3.87+3.93+2+4.02+4.08+1.8</f>
        <v>22.7</v>
      </c>
      <c r="L232" s="22">
        <f>K232*1.15</f>
        <v>26.104999999999997</v>
      </c>
      <c r="M232" s="22">
        <f>6.2*1.3</f>
        <v>8.06</v>
      </c>
      <c r="N232" s="22">
        <f>M232+L232+J232</f>
        <v>51.732549999999996</v>
      </c>
    </row>
    <row r="233" spans="1:14" ht="13.5" x14ac:dyDescent="0.2">
      <c r="A233" s="145"/>
      <c r="B233" s="146" t="s">
        <v>418</v>
      </c>
      <c r="C233" s="140" t="s">
        <v>141</v>
      </c>
      <c r="D233" s="148">
        <v>5.46</v>
      </c>
      <c r="E233" s="142"/>
      <c r="F233" s="143"/>
      <c r="G233" s="144">
        <f t="shared" si="21"/>
        <v>0</v>
      </c>
      <c r="I233" s="22">
        <f>2.815*2</f>
        <v>5.63</v>
      </c>
      <c r="J233" s="22">
        <f>I233*0.97</f>
        <v>5.4611000000000001</v>
      </c>
    </row>
    <row r="234" spans="1:14" ht="13.5" x14ac:dyDescent="0.2">
      <c r="A234" s="145"/>
      <c r="B234" s="146" t="s">
        <v>419</v>
      </c>
      <c r="C234" s="140" t="s">
        <v>141</v>
      </c>
      <c r="D234" s="148">
        <v>77</v>
      </c>
      <c r="E234" s="142"/>
      <c r="F234" s="143"/>
      <c r="G234" s="144">
        <f t="shared" si="21"/>
        <v>0</v>
      </c>
      <c r="I234" s="22">
        <f>6.2*5+3.82+3.88+1.8*3+3.67*2+3.63*2+3*2</f>
        <v>64.699999999999989</v>
      </c>
      <c r="J234" s="22">
        <f>I234*1.1</f>
        <v>71.169999999999987</v>
      </c>
      <c r="K234" s="22">
        <f>3*0.97</f>
        <v>2.91</v>
      </c>
      <c r="L234" s="22">
        <f>3*0.95</f>
        <v>2.8499999999999996</v>
      </c>
      <c r="M234" s="22">
        <f>SUM(J234:L234)</f>
        <v>76.929999999999978</v>
      </c>
    </row>
    <row r="235" spans="1:14" ht="13.5" x14ac:dyDescent="0.2">
      <c r="A235" s="145"/>
      <c r="B235" s="146" t="s">
        <v>432</v>
      </c>
      <c r="C235" s="140" t="s">
        <v>141</v>
      </c>
      <c r="D235" s="148">
        <v>26.6</v>
      </c>
      <c r="E235" s="142"/>
      <c r="F235" s="143"/>
      <c r="G235" s="144">
        <f t="shared" si="21"/>
        <v>0</v>
      </c>
      <c r="I235" s="22">
        <f>6.2*3</f>
        <v>18.600000000000001</v>
      </c>
      <c r="J235" s="22">
        <f>I235*1.425</f>
        <v>26.505000000000003</v>
      </c>
    </row>
    <row r="236" spans="1:14" x14ac:dyDescent="0.2">
      <c r="A236" s="149" t="s">
        <v>132</v>
      </c>
      <c r="B236" s="150" t="s">
        <v>421</v>
      </c>
      <c r="C236" s="151"/>
      <c r="D236" s="152"/>
      <c r="E236" s="153"/>
      <c r="F236" s="143"/>
      <c r="G236" s="144">
        <f t="shared" si="21"/>
        <v>0</v>
      </c>
    </row>
    <row r="237" spans="1:14" ht="13.5" x14ac:dyDescent="0.2">
      <c r="A237" s="145"/>
      <c r="B237" s="146" t="s">
        <v>420</v>
      </c>
      <c r="C237" s="140" t="s">
        <v>141</v>
      </c>
      <c r="D237" s="148">
        <v>33.5</v>
      </c>
      <c r="E237" s="142"/>
      <c r="F237" s="143"/>
      <c r="G237" s="144">
        <f t="shared" si="21"/>
        <v>0</v>
      </c>
      <c r="I237" s="22">
        <f>9.8*3.415</f>
        <v>33.467000000000006</v>
      </c>
    </row>
    <row r="238" spans="1:14" x14ac:dyDescent="0.2">
      <c r="A238" s="145"/>
      <c r="B238" s="146"/>
      <c r="C238" s="140"/>
      <c r="D238" s="148"/>
      <c r="E238" s="142"/>
      <c r="F238" s="143"/>
      <c r="G238" s="144"/>
    </row>
    <row r="239" spans="1:14" x14ac:dyDescent="0.2">
      <c r="A239" s="145"/>
      <c r="B239" s="146"/>
      <c r="C239" s="140"/>
      <c r="D239" s="148"/>
      <c r="E239" s="142"/>
      <c r="F239" s="143"/>
      <c r="G239" s="144"/>
    </row>
    <row r="240" spans="1:14" x14ac:dyDescent="0.2">
      <c r="A240" s="145"/>
      <c r="B240" s="146"/>
      <c r="C240" s="140"/>
      <c r="D240" s="148"/>
      <c r="E240" s="142"/>
      <c r="F240" s="143"/>
      <c r="G240" s="144"/>
    </row>
    <row r="241" spans="1:10" x14ac:dyDescent="0.2">
      <c r="A241" s="145"/>
      <c r="B241" s="146"/>
      <c r="C241" s="140"/>
      <c r="D241" s="148"/>
      <c r="E241" s="142"/>
      <c r="F241" s="143"/>
      <c r="G241" s="144"/>
    </row>
    <row r="242" spans="1:10" x14ac:dyDescent="0.2">
      <c r="A242" s="145"/>
      <c r="B242" s="146"/>
      <c r="C242" s="140"/>
      <c r="D242" s="148"/>
      <c r="E242" s="142"/>
      <c r="F242" s="143"/>
      <c r="G242" s="144"/>
    </row>
    <row r="243" spans="1:10" x14ac:dyDescent="0.2">
      <c r="A243" s="145"/>
      <c r="B243" s="146"/>
      <c r="C243" s="140"/>
      <c r="D243" s="148"/>
      <c r="E243" s="142"/>
      <c r="F243" s="143"/>
      <c r="G243" s="144"/>
    </row>
    <row r="244" spans="1:10" x14ac:dyDescent="0.2">
      <c r="A244" s="145"/>
      <c r="B244" s="146"/>
      <c r="C244" s="140"/>
      <c r="D244" s="148"/>
      <c r="E244" s="142"/>
      <c r="F244" s="143"/>
      <c r="G244" s="144"/>
    </row>
    <row r="245" spans="1:10" x14ac:dyDescent="0.2">
      <c r="A245" s="145"/>
      <c r="B245" s="146"/>
      <c r="C245" s="140"/>
      <c r="D245" s="148"/>
      <c r="E245" s="142"/>
      <c r="F245" s="143"/>
      <c r="G245" s="144"/>
    </row>
    <row r="246" spans="1:10" x14ac:dyDescent="0.2">
      <c r="A246" s="145"/>
      <c r="B246" s="146"/>
      <c r="C246" s="140"/>
      <c r="D246" s="148"/>
      <c r="E246" s="142"/>
      <c r="F246" s="143"/>
      <c r="G246" s="144"/>
    </row>
    <row r="247" spans="1:10" x14ac:dyDescent="0.2">
      <c r="A247" s="145"/>
      <c r="B247" s="146"/>
      <c r="C247" s="140"/>
      <c r="D247" s="148"/>
      <c r="E247" s="142"/>
      <c r="F247" s="143"/>
      <c r="G247" s="144"/>
    </row>
    <row r="248" spans="1:10" x14ac:dyDescent="0.2">
      <c r="A248" s="145"/>
      <c r="B248" s="146"/>
      <c r="C248" s="140"/>
      <c r="D248" s="148"/>
      <c r="E248" s="142"/>
      <c r="F248" s="143"/>
      <c r="G248" s="144"/>
    </row>
    <row r="249" spans="1:10" x14ac:dyDescent="0.2">
      <c r="A249" s="473"/>
      <c r="B249" s="474"/>
      <c r="C249" s="475"/>
      <c r="D249" s="476"/>
      <c r="E249" s="477"/>
      <c r="F249" s="478"/>
      <c r="G249" s="479"/>
    </row>
    <row r="250" spans="1:10" x14ac:dyDescent="0.2">
      <c r="A250" s="460" t="s">
        <v>89</v>
      </c>
      <c r="B250" s="461" t="s">
        <v>11</v>
      </c>
      <c r="C250" s="462"/>
      <c r="D250" s="463"/>
      <c r="E250" s="464"/>
      <c r="F250" s="463"/>
      <c r="G250" s="465"/>
    </row>
    <row r="251" spans="1:10" ht="32.25" customHeight="1" x14ac:dyDescent="0.2">
      <c r="A251" s="68"/>
      <c r="B251" s="580" t="s">
        <v>90</v>
      </c>
      <c r="C251" s="581"/>
      <c r="D251" s="581"/>
      <c r="E251" s="581"/>
      <c r="F251" s="582"/>
      <c r="G251" s="74"/>
    </row>
    <row r="252" spans="1:10" ht="29.25" customHeight="1" x14ac:dyDescent="0.2">
      <c r="A252" s="65"/>
      <c r="B252" s="580" t="s">
        <v>91</v>
      </c>
      <c r="C252" s="581"/>
      <c r="D252" s="581"/>
      <c r="E252" s="581"/>
      <c r="F252" s="582"/>
      <c r="G252" s="74"/>
    </row>
    <row r="253" spans="1:10" ht="30" customHeight="1" x14ac:dyDescent="0.2">
      <c r="A253" s="68"/>
      <c r="B253" s="589" t="s">
        <v>282</v>
      </c>
      <c r="C253" s="590"/>
      <c r="D253" s="590"/>
      <c r="E253" s="590"/>
      <c r="F253" s="591"/>
      <c r="G253" s="74"/>
    </row>
    <row r="254" spans="1:10" x14ac:dyDescent="0.2">
      <c r="A254" s="131" t="s">
        <v>92</v>
      </c>
      <c r="B254" s="132" t="s">
        <v>56</v>
      </c>
      <c r="C254" s="172"/>
      <c r="D254" s="173"/>
      <c r="E254" s="174"/>
      <c r="F254" s="175"/>
      <c r="G254" s="176">
        <f t="shared" ref="G254" si="22">(D254*E254)+(D254*F254)</f>
        <v>0</v>
      </c>
    </row>
    <row r="255" spans="1:10" x14ac:dyDescent="0.2">
      <c r="A255" s="178" t="s">
        <v>164</v>
      </c>
      <c r="B255" s="179" t="s">
        <v>172</v>
      </c>
      <c r="C255" s="180"/>
      <c r="D255" s="181"/>
      <c r="E255" s="177"/>
      <c r="F255" s="177"/>
      <c r="G255" s="144"/>
    </row>
    <row r="256" spans="1:10" x14ac:dyDescent="0.2">
      <c r="A256" s="145"/>
      <c r="B256" s="194" t="s">
        <v>429</v>
      </c>
      <c r="C256" s="151" t="s">
        <v>131</v>
      </c>
      <c r="D256" s="152">
        <f>I258/1000</f>
        <v>1.0656000000000001E-2</v>
      </c>
      <c r="E256" s="177"/>
      <c r="F256" s="177"/>
      <c r="G256" s="144">
        <f t="shared" ref="G256:G258" si="23">(D256*E256)+(D256*F256)</f>
        <v>0</v>
      </c>
      <c r="I256" s="31"/>
      <c r="J256" s="31"/>
    </row>
    <row r="257" spans="1:15" x14ac:dyDescent="0.2">
      <c r="A257" s="145"/>
      <c r="B257" s="146" t="s">
        <v>233</v>
      </c>
      <c r="C257" s="147" t="s">
        <v>8</v>
      </c>
      <c r="D257" s="148">
        <v>8</v>
      </c>
      <c r="E257" s="177"/>
      <c r="F257" s="177"/>
      <c r="G257" s="144">
        <f t="shared" si="23"/>
        <v>0</v>
      </c>
      <c r="I257" s="31">
        <f>0.222*D257*6</f>
        <v>10.656000000000001</v>
      </c>
      <c r="J257" s="31"/>
    </row>
    <row r="258" spans="1:15" x14ac:dyDescent="0.2">
      <c r="A258" s="145"/>
      <c r="B258" s="146" t="s">
        <v>14</v>
      </c>
      <c r="C258" s="147" t="s">
        <v>9</v>
      </c>
      <c r="D258" s="148">
        <f>D256*20</f>
        <v>0.21312</v>
      </c>
      <c r="E258" s="177"/>
      <c r="F258" s="177"/>
      <c r="G258" s="144">
        <f t="shared" si="23"/>
        <v>0</v>
      </c>
      <c r="I258" s="31">
        <f>SUM(I257:I257)</f>
        <v>10.656000000000001</v>
      </c>
      <c r="J258" s="31"/>
    </row>
    <row r="259" spans="1:15" x14ac:dyDescent="0.2">
      <c r="A259" s="178" t="s">
        <v>165</v>
      </c>
      <c r="B259" s="179" t="s">
        <v>200</v>
      </c>
      <c r="C259" s="180" t="s">
        <v>131</v>
      </c>
      <c r="D259" s="181">
        <f>I261/1000</f>
        <v>0.140676</v>
      </c>
      <c r="E259" s="177"/>
      <c r="F259" s="177"/>
      <c r="G259" s="144">
        <f t="shared" ref="G259:G261" si="24">(D259*E259)+(D259*F259)</f>
        <v>0</v>
      </c>
      <c r="H259" s="38"/>
      <c r="I259" s="34"/>
    </row>
    <row r="260" spans="1:15" x14ac:dyDescent="0.2">
      <c r="A260" s="183" t="s">
        <v>175</v>
      </c>
      <c r="B260" s="146" t="s">
        <v>232</v>
      </c>
      <c r="C260" s="185" t="s">
        <v>8</v>
      </c>
      <c r="D260" s="186">
        <v>38</v>
      </c>
      <c r="E260" s="177"/>
      <c r="F260" s="177"/>
      <c r="G260" s="144">
        <f t="shared" si="24"/>
        <v>0</v>
      </c>
      <c r="H260" s="38"/>
      <c r="I260" s="31">
        <f>0.617*D260*6</f>
        <v>140.67599999999999</v>
      </c>
    </row>
    <row r="261" spans="1:15" x14ac:dyDescent="0.2">
      <c r="A261" s="183"/>
      <c r="B261" s="184" t="s">
        <v>14</v>
      </c>
      <c r="C261" s="185" t="s">
        <v>9</v>
      </c>
      <c r="D261" s="186">
        <f>D259*20</f>
        <v>2.81352</v>
      </c>
      <c r="E261" s="177"/>
      <c r="F261" s="177"/>
      <c r="G261" s="144">
        <f t="shared" si="24"/>
        <v>0</v>
      </c>
      <c r="H261" s="38"/>
      <c r="I261" s="31">
        <f>SUM(I259:I260)</f>
        <v>140.67599999999999</v>
      </c>
    </row>
    <row r="262" spans="1:15" x14ac:dyDescent="0.2">
      <c r="A262" s="149" t="s">
        <v>177</v>
      </c>
      <c r="B262" s="150" t="s">
        <v>218</v>
      </c>
      <c r="C262" s="151" t="s">
        <v>131</v>
      </c>
      <c r="D262" s="152">
        <f>I264/1000</f>
        <v>1.8658079999999999</v>
      </c>
      <c r="E262" s="177"/>
      <c r="F262" s="177"/>
      <c r="G262" s="144">
        <f t="shared" ref="G262:G264" si="25">(D262*E262)+(D262*F262)</f>
        <v>0</v>
      </c>
      <c r="K262" s="22">
        <v>246.4</v>
      </c>
      <c r="M262" s="22">
        <f>7.8+6.05+1.95+2.05</f>
        <v>17.849999999999998</v>
      </c>
      <c r="N262" s="22">
        <f>M262*0.15*2</f>
        <v>5.3549999999999995</v>
      </c>
      <c r="O262" s="22">
        <f>K262+N262</f>
        <v>251.755</v>
      </c>
    </row>
    <row r="263" spans="1:15" x14ac:dyDescent="0.2">
      <c r="A263" s="149"/>
      <c r="B263" s="146" t="s">
        <v>431</v>
      </c>
      <c r="C263" s="147" t="s">
        <v>8</v>
      </c>
      <c r="D263" s="148">
        <v>504</v>
      </c>
      <c r="E263" s="177"/>
      <c r="F263" s="177"/>
      <c r="G263" s="144">
        <f t="shared" si="25"/>
        <v>0</v>
      </c>
      <c r="I263" s="31">
        <f>0.617*D263*6</f>
        <v>1865.808</v>
      </c>
      <c r="K263" s="22">
        <f>O262*12</f>
        <v>3021.06</v>
      </c>
      <c r="L263" s="22">
        <f>K263/6</f>
        <v>503.51</v>
      </c>
    </row>
    <row r="264" spans="1:15" x14ac:dyDescent="0.2">
      <c r="A264" s="145"/>
      <c r="B264" s="146" t="s">
        <v>14</v>
      </c>
      <c r="C264" s="147" t="s">
        <v>9</v>
      </c>
      <c r="D264" s="148">
        <f>D262*20</f>
        <v>37.316159999999996</v>
      </c>
      <c r="E264" s="177"/>
      <c r="F264" s="177"/>
      <c r="G264" s="144">
        <f t="shared" si="25"/>
        <v>0</v>
      </c>
      <c r="I264" s="31">
        <f>SUM(I262:I263)</f>
        <v>1865.808</v>
      </c>
    </row>
    <row r="265" spans="1:15" x14ac:dyDescent="0.2">
      <c r="A265" s="183"/>
      <c r="B265" s="184"/>
      <c r="C265" s="185"/>
      <c r="D265" s="186"/>
      <c r="E265" s="177"/>
      <c r="F265" s="177"/>
      <c r="G265" s="144"/>
      <c r="I265" s="31"/>
    </row>
    <row r="266" spans="1:15" x14ac:dyDescent="0.2">
      <c r="A266" s="131" t="s">
        <v>132</v>
      </c>
      <c r="B266" s="132" t="s">
        <v>58</v>
      </c>
      <c r="C266" s="172"/>
      <c r="D266" s="173"/>
      <c r="E266" s="173"/>
      <c r="F266" s="173"/>
      <c r="G266" s="176">
        <f t="shared" ref="G266" si="26">(D266*E266)+(D266*F266)</f>
        <v>0</v>
      </c>
    </row>
    <row r="267" spans="1:15" x14ac:dyDescent="0.2">
      <c r="A267" s="178" t="s">
        <v>164</v>
      </c>
      <c r="B267" s="179" t="s">
        <v>289</v>
      </c>
      <c r="C267" s="180"/>
      <c r="D267" s="181"/>
      <c r="E267" s="177"/>
      <c r="F267" s="177"/>
      <c r="G267" s="144"/>
    </row>
    <row r="268" spans="1:15" x14ac:dyDescent="0.2">
      <c r="A268" s="145" t="s">
        <v>186</v>
      </c>
      <c r="B268" s="146" t="s">
        <v>413</v>
      </c>
      <c r="C268" s="147" t="s">
        <v>131</v>
      </c>
      <c r="D268" s="148">
        <f>I271/1000</f>
        <v>1.5929760000000002</v>
      </c>
      <c r="E268" s="177"/>
      <c r="F268" s="177"/>
      <c r="G268" s="144">
        <f t="shared" ref="G268:G280" si="27">(D268*E268)+(D268*F268)</f>
        <v>0</v>
      </c>
    </row>
    <row r="269" spans="1:15" x14ac:dyDescent="0.2">
      <c r="A269" s="149"/>
      <c r="B269" s="146" t="s">
        <v>230</v>
      </c>
      <c r="C269" s="147" t="s">
        <v>8</v>
      </c>
      <c r="D269" s="148">
        <v>136</v>
      </c>
      <c r="E269" s="177"/>
      <c r="F269" s="177"/>
      <c r="G269" s="144">
        <f t="shared" si="27"/>
        <v>0</v>
      </c>
      <c r="I269" s="31">
        <f>D269*1.58*6</f>
        <v>1289.28</v>
      </c>
      <c r="J269" s="22">
        <f>19.4*3+6.5+9.8+10.7</f>
        <v>85.199999999999989</v>
      </c>
      <c r="K269" s="22">
        <f>J269/0.15</f>
        <v>568</v>
      </c>
      <c r="L269" s="22">
        <f>K269*2</f>
        <v>1136</v>
      </c>
      <c r="M269" s="22">
        <f>L269/5</f>
        <v>227.2</v>
      </c>
    </row>
    <row r="270" spans="1:15" x14ac:dyDescent="0.2">
      <c r="A270" s="145"/>
      <c r="B270" s="146" t="s">
        <v>233</v>
      </c>
      <c r="C270" s="147" t="s">
        <v>8</v>
      </c>
      <c r="D270" s="148">
        <v>228</v>
      </c>
      <c r="E270" s="177"/>
      <c r="F270" s="177"/>
      <c r="G270" s="144">
        <f t="shared" si="27"/>
        <v>0</v>
      </c>
      <c r="I270" s="31">
        <f>0.222*D270*6</f>
        <v>303.69600000000003</v>
      </c>
    </row>
    <row r="271" spans="1:15" x14ac:dyDescent="0.2">
      <c r="A271" s="145"/>
      <c r="B271" s="146" t="s">
        <v>14</v>
      </c>
      <c r="C271" s="147" t="s">
        <v>9</v>
      </c>
      <c r="D271" s="148">
        <f>D268*20</f>
        <v>31.859520000000003</v>
      </c>
      <c r="E271" s="177"/>
      <c r="F271" s="177"/>
      <c r="G271" s="144">
        <f t="shared" si="27"/>
        <v>0</v>
      </c>
      <c r="I271" s="31">
        <f>SUM(I269:I270)</f>
        <v>1592.9760000000001</v>
      </c>
      <c r="J271" s="31"/>
    </row>
    <row r="272" spans="1:15" x14ac:dyDescent="0.2">
      <c r="A272" s="145"/>
      <c r="B272" s="146"/>
      <c r="C272" s="147"/>
      <c r="D272" s="148"/>
      <c r="E272" s="177"/>
      <c r="F272" s="177"/>
      <c r="G272" s="144"/>
      <c r="I272" s="31"/>
      <c r="J272" s="31"/>
    </row>
    <row r="273" spans="1:17" x14ac:dyDescent="0.2">
      <c r="A273" s="145" t="s">
        <v>187</v>
      </c>
      <c r="B273" s="146" t="s">
        <v>418</v>
      </c>
      <c r="C273" s="147" t="s">
        <v>131</v>
      </c>
      <c r="D273" s="148">
        <f>I276/1000</f>
        <v>0.81709200000000015</v>
      </c>
      <c r="E273" s="177"/>
      <c r="F273" s="177"/>
      <c r="G273" s="144">
        <f t="shared" ref="G273:G276" si="28">(D273*E273)+(D273*F273)</f>
        <v>0</v>
      </c>
      <c r="I273" s="31"/>
      <c r="J273" s="31"/>
    </row>
    <row r="274" spans="1:17" x14ac:dyDescent="0.2">
      <c r="A274" s="145"/>
      <c r="B274" s="146" t="s">
        <v>230</v>
      </c>
      <c r="C274" s="147" t="s">
        <v>8</v>
      </c>
      <c r="D274" s="148">
        <v>72</v>
      </c>
      <c r="E274" s="177"/>
      <c r="F274" s="177"/>
      <c r="G274" s="144">
        <f t="shared" si="28"/>
        <v>0</v>
      </c>
      <c r="I274" s="31">
        <f>D274*1.58*6</f>
        <v>682.56000000000006</v>
      </c>
      <c r="J274" s="22">
        <f>13.7*2+10.7+3.4+12.9</f>
        <v>54.399999999999991</v>
      </c>
      <c r="K274" s="22">
        <f>J274/0.15</f>
        <v>362.66666666666663</v>
      </c>
      <c r="L274" s="22">
        <f>J274/3</f>
        <v>18.133333333333329</v>
      </c>
      <c r="M274" s="22">
        <f>L274*2</f>
        <v>36.266666666666659</v>
      </c>
      <c r="N274" s="22">
        <f>M274/0.15</f>
        <v>241.77777777777774</v>
      </c>
      <c r="O274" s="22">
        <f>N274+K274</f>
        <v>604.44444444444434</v>
      </c>
      <c r="P274" s="22">
        <f>O274/6</f>
        <v>100.74074074074072</v>
      </c>
    </row>
    <row r="275" spans="1:17" x14ac:dyDescent="0.2">
      <c r="A275" s="145"/>
      <c r="B275" s="146" t="s">
        <v>233</v>
      </c>
      <c r="C275" s="147" t="s">
        <v>8</v>
      </c>
      <c r="D275" s="148">
        <v>101</v>
      </c>
      <c r="E275" s="177"/>
      <c r="F275" s="177"/>
      <c r="G275" s="144">
        <f t="shared" si="28"/>
        <v>0</v>
      </c>
      <c r="I275" s="31">
        <f>0.222*D275*6</f>
        <v>134.53200000000001</v>
      </c>
    </row>
    <row r="276" spans="1:17" x14ac:dyDescent="0.2">
      <c r="A276" s="145"/>
      <c r="B276" s="146" t="s">
        <v>14</v>
      </c>
      <c r="C276" s="147" t="s">
        <v>9</v>
      </c>
      <c r="D276" s="148">
        <f>D273*20</f>
        <v>16.341840000000005</v>
      </c>
      <c r="E276" s="177"/>
      <c r="F276" s="177"/>
      <c r="G276" s="144">
        <f t="shared" si="28"/>
        <v>0</v>
      </c>
      <c r="I276" s="31">
        <f>SUM(I274:I275)</f>
        <v>817.0920000000001</v>
      </c>
      <c r="J276" s="31"/>
    </row>
    <row r="277" spans="1:17" x14ac:dyDescent="0.2">
      <c r="A277" s="178" t="s">
        <v>165</v>
      </c>
      <c r="B277" s="179" t="s">
        <v>287</v>
      </c>
      <c r="C277" s="180" t="s">
        <v>131</v>
      </c>
      <c r="D277" s="181">
        <f>I280/1000</f>
        <v>3.7456259999999997</v>
      </c>
      <c r="E277" s="177"/>
      <c r="F277" s="177"/>
      <c r="G277" s="144">
        <f t="shared" si="27"/>
        <v>0</v>
      </c>
      <c r="H277" s="38"/>
      <c r="I277" s="34"/>
      <c r="J277" s="22">
        <f>19.4*10.7</f>
        <v>207.57999999999998</v>
      </c>
      <c r="K277" s="22">
        <f>9.8*3</f>
        <v>29.400000000000002</v>
      </c>
      <c r="L277" s="22">
        <f>SUM(J277:K277)</f>
        <v>236.98</v>
      </c>
      <c r="M277" s="22">
        <f>4.15*2.815</f>
        <v>11.682250000000002</v>
      </c>
      <c r="N277" s="22">
        <f>L277-M277</f>
        <v>225.29774999999998</v>
      </c>
      <c r="O277" s="22">
        <f>1.9*2</f>
        <v>3.8</v>
      </c>
      <c r="Q277" s="22">
        <f>SUM(N277:O277)</f>
        <v>229.09774999999999</v>
      </c>
    </row>
    <row r="278" spans="1:17" x14ac:dyDescent="0.2">
      <c r="A278" s="183" t="s">
        <v>175</v>
      </c>
      <c r="B278" s="146" t="s">
        <v>232</v>
      </c>
      <c r="C278" s="185" t="s">
        <v>8</v>
      </c>
      <c r="D278" s="186">
        <v>983</v>
      </c>
      <c r="E278" s="177"/>
      <c r="F278" s="177"/>
      <c r="G278" s="144">
        <f t="shared" si="27"/>
        <v>0</v>
      </c>
      <c r="H278" s="38"/>
      <c r="I278" s="31">
        <f>0.617*D278*6</f>
        <v>3639.0659999999998</v>
      </c>
      <c r="K278" s="22">
        <f>Q277*14</f>
        <v>3207.3685</v>
      </c>
      <c r="L278" s="22">
        <f>K278*75%</f>
        <v>2405.5263749999999</v>
      </c>
      <c r="M278" s="22">
        <f>SUM(K278:L278)</f>
        <v>5612.894875</v>
      </c>
      <c r="N278" s="22">
        <f>M278/6</f>
        <v>935.48247916666662</v>
      </c>
      <c r="O278" s="22">
        <f>N278*105%</f>
        <v>982.25660312499997</v>
      </c>
    </row>
    <row r="279" spans="1:17" x14ac:dyDescent="0.2">
      <c r="A279" s="183"/>
      <c r="B279" s="146" t="s">
        <v>231</v>
      </c>
      <c r="C279" s="185" t="s">
        <v>8</v>
      </c>
      <c r="D279" s="186">
        <v>20</v>
      </c>
      <c r="E279" s="177"/>
      <c r="F279" s="177"/>
      <c r="G279" s="144">
        <f t="shared" ref="G279" si="29">(D279*E279)+(D279*F279)</f>
        <v>0</v>
      </c>
      <c r="H279" s="38"/>
      <c r="I279" s="31">
        <f>0.888*D279*6</f>
        <v>106.56</v>
      </c>
    </row>
    <row r="280" spans="1:17" x14ac:dyDescent="0.2">
      <c r="A280" s="183"/>
      <c r="B280" s="184" t="s">
        <v>14</v>
      </c>
      <c r="C280" s="185" t="s">
        <v>9</v>
      </c>
      <c r="D280" s="186">
        <f>D277*15</f>
        <v>56.184389999999993</v>
      </c>
      <c r="E280" s="177"/>
      <c r="F280" s="177"/>
      <c r="G280" s="144">
        <f t="shared" si="27"/>
        <v>0</v>
      </c>
      <c r="H280" s="38"/>
      <c r="I280" s="31">
        <f>SUM(I277:I279)</f>
        <v>3745.6259999999997</v>
      </c>
    </row>
    <row r="281" spans="1:17" x14ac:dyDescent="0.2">
      <c r="A281" s="178" t="s">
        <v>177</v>
      </c>
      <c r="B281" s="179" t="s">
        <v>172</v>
      </c>
      <c r="C281" s="180"/>
      <c r="D281" s="181"/>
      <c r="E281" s="177"/>
      <c r="F281" s="177"/>
      <c r="G281" s="144"/>
    </row>
    <row r="282" spans="1:17" x14ac:dyDescent="0.2">
      <c r="A282" s="145"/>
      <c r="B282" s="194" t="s">
        <v>426</v>
      </c>
      <c r="C282" s="151" t="s">
        <v>131</v>
      </c>
      <c r="D282" s="152">
        <f>I285/1000</f>
        <v>0.51098399999999999</v>
      </c>
      <c r="E282" s="177"/>
      <c r="F282" s="177"/>
      <c r="G282" s="144">
        <f t="shared" ref="G282:G316" si="30">(D282*E282)+(D282*F282)</f>
        <v>0</v>
      </c>
    </row>
    <row r="283" spans="1:17" x14ac:dyDescent="0.2">
      <c r="A283" s="149"/>
      <c r="B283" s="146" t="s">
        <v>230</v>
      </c>
      <c r="C283" s="147" t="s">
        <v>8</v>
      </c>
      <c r="D283" s="148">
        <v>48</v>
      </c>
      <c r="E283" s="177"/>
      <c r="F283" s="177"/>
      <c r="G283" s="144">
        <f t="shared" si="30"/>
        <v>0</v>
      </c>
      <c r="I283" s="31">
        <f>D283*1.58*6</f>
        <v>455.04</v>
      </c>
      <c r="J283" s="22">
        <f>4*29</f>
        <v>116</v>
      </c>
      <c r="L283" s="22">
        <f>5.025/0.15</f>
        <v>33.500000000000007</v>
      </c>
      <c r="M283" s="22">
        <f>35*29</f>
        <v>1015</v>
      </c>
      <c r="N283" s="22">
        <f>M283/11</f>
        <v>92.272727272727266</v>
      </c>
    </row>
    <row r="284" spans="1:17" x14ac:dyDescent="0.2">
      <c r="A284" s="145"/>
      <c r="B284" s="146" t="s">
        <v>233</v>
      </c>
      <c r="C284" s="147" t="s">
        <v>8</v>
      </c>
      <c r="D284" s="148">
        <v>42</v>
      </c>
      <c r="E284" s="177"/>
      <c r="F284" s="177"/>
      <c r="G284" s="144">
        <f t="shared" si="30"/>
        <v>0</v>
      </c>
      <c r="I284" s="31">
        <f>0.222*D284*6</f>
        <v>55.944000000000003</v>
      </c>
    </row>
    <row r="285" spans="1:17" x14ac:dyDescent="0.2">
      <c r="A285" s="145"/>
      <c r="B285" s="184" t="s">
        <v>14</v>
      </c>
      <c r="C285" s="185" t="s">
        <v>9</v>
      </c>
      <c r="D285" s="186">
        <f>D282*20</f>
        <v>10.21968</v>
      </c>
      <c r="E285" s="177"/>
      <c r="F285" s="177"/>
      <c r="G285" s="189">
        <f t="shared" si="30"/>
        <v>0</v>
      </c>
      <c r="I285" s="31">
        <f>SUM(I283:I284)</f>
        <v>510.98400000000004</v>
      </c>
      <c r="J285" s="31"/>
    </row>
    <row r="286" spans="1:17" x14ac:dyDescent="0.2">
      <c r="A286" s="145"/>
      <c r="B286" s="194" t="s">
        <v>427</v>
      </c>
      <c r="C286" s="151" t="s">
        <v>131</v>
      </c>
      <c r="D286" s="152">
        <f>I289/1000</f>
        <v>0.17017200000000002</v>
      </c>
      <c r="E286" s="177"/>
      <c r="F286" s="143"/>
      <c r="G286" s="144">
        <f t="shared" si="30"/>
        <v>0</v>
      </c>
      <c r="I286" s="31"/>
      <c r="J286" s="31"/>
    </row>
    <row r="287" spans="1:17" x14ac:dyDescent="0.2">
      <c r="A287" s="145"/>
      <c r="B287" s="146" t="s">
        <v>230</v>
      </c>
      <c r="C287" s="147" t="s">
        <v>8</v>
      </c>
      <c r="D287" s="148">
        <v>15</v>
      </c>
      <c r="E287" s="177"/>
      <c r="F287" s="143"/>
      <c r="G287" s="144">
        <f t="shared" si="30"/>
        <v>0</v>
      </c>
      <c r="I287" s="31">
        <f>D287*1.58*6</f>
        <v>142.20000000000002</v>
      </c>
      <c r="J287" s="22">
        <f>6*4</f>
        <v>24</v>
      </c>
    </row>
    <row r="288" spans="1:17" x14ac:dyDescent="0.2">
      <c r="A288" s="145"/>
      <c r="B288" s="146" t="s">
        <v>233</v>
      </c>
      <c r="C288" s="147" t="s">
        <v>8</v>
      </c>
      <c r="D288" s="148">
        <v>21</v>
      </c>
      <c r="E288" s="177"/>
      <c r="F288" s="143"/>
      <c r="G288" s="144">
        <f t="shared" si="30"/>
        <v>0</v>
      </c>
      <c r="I288" s="31">
        <f>0.222*D288*6</f>
        <v>27.972000000000001</v>
      </c>
    </row>
    <row r="289" spans="1:11" x14ac:dyDescent="0.2">
      <c r="A289" s="145"/>
      <c r="B289" s="146" t="s">
        <v>14</v>
      </c>
      <c r="C289" s="147" t="s">
        <v>9</v>
      </c>
      <c r="D289" s="148">
        <f>D286*20</f>
        <v>3.4034400000000002</v>
      </c>
      <c r="E289" s="177"/>
      <c r="F289" s="143"/>
      <c r="G289" s="144">
        <f t="shared" si="30"/>
        <v>0</v>
      </c>
      <c r="I289" s="31">
        <f>SUM(I287:I288)</f>
        <v>170.17200000000003</v>
      </c>
      <c r="J289" s="31"/>
    </row>
    <row r="290" spans="1:11" x14ac:dyDescent="0.2">
      <c r="A290" s="145"/>
      <c r="B290" s="194" t="s">
        <v>430</v>
      </c>
      <c r="C290" s="151" t="s">
        <v>131</v>
      </c>
      <c r="D290" s="152">
        <f>I293/1000</f>
        <v>0.41587200000000002</v>
      </c>
      <c r="E290" s="177"/>
      <c r="F290" s="143"/>
      <c r="G290" s="144">
        <f t="shared" si="30"/>
        <v>0</v>
      </c>
      <c r="I290" s="31"/>
      <c r="J290" s="31"/>
    </row>
    <row r="291" spans="1:11" x14ac:dyDescent="0.2">
      <c r="A291" s="145"/>
      <c r="B291" s="146" t="s">
        <v>230</v>
      </c>
      <c r="C291" s="147" t="s">
        <v>8</v>
      </c>
      <c r="D291" s="148">
        <v>36</v>
      </c>
      <c r="E291" s="177"/>
      <c r="F291" s="143"/>
      <c r="G291" s="144">
        <f t="shared" si="30"/>
        <v>0</v>
      </c>
      <c r="I291" s="31">
        <f>D291*1.58*6</f>
        <v>341.28000000000003</v>
      </c>
      <c r="J291" s="22">
        <f>6*4</f>
        <v>24</v>
      </c>
    </row>
    <row r="292" spans="1:11" x14ac:dyDescent="0.2">
      <c r="A292" s="145"/>
      <c r="B292" s="146" t="s">
        <v>233</v>
      </c>
      <c r="C292" s="147" t="s">
        <v>8</v>
      </c>
      <c r="D292" s="148">
        <v>56</v>
      </c>
      <c r="E292" s="177"/>
      <c r="F292" s="143"/>
      <c r="G292" s="144">
        <f t="shared" si="30"/>
        <v>0</v>
      </c>
      <c r="I292" s="31">
        <f>0.222*D292*6</f>
        <v>74.591999999999999</v>
      </c>
    </row>
    <row r="293" spans="1:11" x14ac:dyDescent="0.2">
      <c r="A293" s="145"/>
      <c r="B293" s="146" t="s">
        <v>14</v>
      </c>
      <c r="C293" s="147" t="s">
        <v>9</v>
      </c>
      <c r="D293" s="148">
        <f>D290*20</f>
        <v>8.3174400000000013</v>
      </c>
      <c r="E293" s="177"/>
      <c r="F293" s="143"/>
      <c r="G293" s="144">
        <f t="shared" si="30"/>
        <v>0</v>
      </c>
      <c r="I293" s="31">
        <f>SUM(I291:I292)</f>
        <v>415.87200000000001</v>
      </c>
      <c r="J293" s="31"/>
    </row>
    <row r="294" spans="1:11" x14ac:dyDescent="0.2">
      <c r="A294" s="145"/>
      <c r="B294" s="194" t="s">
        <v>428</v>
      </c>
      <c r="C294" s="151" t="s">
        <v>131</v>
      </c>
      <c r="D294" s="152">
        <f>I297/1000</f>
        <v>0.28238400000000002</v>
      </c>
      <c r="E294" s="177"/>
      <c r="F294" s="143"/>
      <c r="G294" s="144">
        <f t="shared" si="30"/>
        <v>0</v>
      </c>
      <c r="I294" s="31"/>
      <c r="J294" s="31"/>
    </row>
    <row r="295" spans="1:11" x14ac:dyDescent="0.2">
      <c r="A295" s="145"/>
      <c r="B295" s="146" t="s">
        <v>231</v>
      </c>
      <c r="C295" s="147" t="s">
        <v>8</v>
      </c>
      <c r="D295" s="148">
        <v>48</v>
      </c>
      <c r="E295" s="177"/>
      <c r="F295" s="143"/>
      <c r="G295" s="144">
        <f t="shared" si="30"/>
        <v>0</v>
      </c>
      <c r="I295" s="31">
        <f>D295*0.888*6</f>
        <v>255.74400000000003</v>
      </c>
      <c r="J295" s="22">
        <f>6*4</f>
        <v>24</v>
      </c>
    </row>
    <row r="296" spans="1:11" x14ac:dyDescent="0.2">
      <c r="A296" s="145"/>
      <c r="B296" s="146" t="s">
        <v>233</v>
      </c>
      <c r="C296" s="147" t="s">
        <v>8</v>
      </c>
      <c r="D296" s="148">
        <v>20</v>
      </c>
      <c r="E296" s="177"/>
      <c r="F296" s="143"/>
      <c r="G296" s="144">
        <f t="shared" si="30"/>
        <v>0</v>
      </c>
      <c r="I296" s="31">
        <f>0.222*D296*6</f>
        <v>26.64</v>
      </c>
    </row>
    <row r="297" spans="1:11" x14ac:dyDescent="0.2">
      <c r="A297" s="145"/>
      <c r="B297" s="146" t="s">
        <v>14</v>
      </c>
      <c r="C297" s="147" t="s">
        <v>9</v>
      </c>
      <c r="D297" s="148">
        <f>D294*20</f>
        <v>5.6476800000000003</v>
      </c>
      <c r="E297" s="177"/>
      <c r="F297" s="143"/>
      <c r="G297" s="144">
        <f t="shared" si="30"/>
        <v>0</v>
      </c>
      <c r="I297" s="31">
        <f>SUM(I295:I296)</f>
        <v>282.38400000000001</v>
      </c>
      <c r="J297" s="31"/>
    </row>
    <row r="298" spans="1:11" x14ac:dyDescent="0.2">
      <c r="A298" s="145"/>
      <c r="B298" s="194" t="s">
        <v>429</v>
      </c>
      <c r="C298" s="151" t="s">
        <v>131</v>
      </c>
      <c r="D298" s="152">
        <f>I301/1000</f>
        <v>0.11061</v>
      </c>
      <c r="E298" s="177"/>
      <c r="F298" s="143"/>
      <c r="G298" s="144">
        <f t="shared" si="30"/>
        <v>0</v>
      </c>
      <c r="I298" s="31"/>
      <c r="J298" s="31"/>
    </row>
    <row r="299" spans="1:11" x14ac:dyDescent="0.2">
      <c r="A299" s="145"/>
      <c r="B299" s="146" t="s">
        <v>232</v>
      </c>
      <c r="C299" s="147" t="s">
        <v>8</v>
      </c>
      <c r="D299" s="148">
        <v>27</v>
      </c>
      <c r="E299" s="177"/>
      <c r="F299" s="143"/>
      <c r="G299" s="144">
        <f t="shared" si="30"/>
        <v>0</v>
      </c>
      <c r="I299" s="31">
        <f>D299*0.617*6</f>
        <v>99.953999999999994</v>
      </c>
      <c r="J299" s="31">
        <f>33*6</f>
        <v>198</v>
      </c>
      <c r="K299" s="48">
        <f>J299/18</f>
        <v>11</v>
      </c>
    </row>
    <row r="300" spans="1:11" x14ac:dyDescent="0.2">
      <c r="A300" s="145"/>
      <c r="B300" s="146" t="s">
        <v>233</v>
      </c>
      <c r="C300" s="147" t="s">
        <v>8</v>
      </c>
      <c r="D300" s="148">
        <v>8</v>
      </c>
      <c r="E300" s="177"/>
      <c r="F300" s="143"/>
      <c r="G300" s="144">
        <f t="shared" si="30"/>
        <v>0</v>
      </c>
      <c r="I300" s="31">
        <f>0.222*D300*6</f>
        <v>10.656000000000001</v>
      </c>
      <c r="J300" s="31"/>
    </row>
    <row r="301" spans="1:11" x14ac:dyDescent="0.2">
      <c r="A301" s="145"/>
      <c r="B301" s="146" t="s">
        <v>14</v>
      </c>
      <c r="C301" s="147" t="s">
        <v>9</v>
      </c>
      <c r="D301" s="148">
        <f>D298*20</f>
        <v>2.2122000000000002</v>
      </c>
      <c r="E301" s="177"/>
      <c r="F301" s="143"/>
      <c r="G301" s="144">
        <f t="shared" si="30"/>
        <v>0</v>
      </c>
      <c r="I301" s="31">
        <f>SUM(I299:I300)</f>
        <v>110.61</v>
      </c>
      <c r="J301" s="31"/>
    </row>
    <row r="302" spans="1:11" x14ac:dyDescent="0.2">
      <c r="A302" s="149" t="s">
        <v>178</v>
      </c>
      <c r="B302" s="179" t="s">
        <v>200</v>
      </c>
      <c r="C302" s="180" t="s">
        <v>131</v>
      </c>
      <c r="D302" s="181">
        <f>I304/1000</f>
        <v>0.33688200000000001</v>
      </c>
      <c r="E302" s="177"/>
      <c r="F302" s="143"/>
      <c r="G302" s="144">
        <f t="shared" si="30"/>
        <v>0</v>
      </c>
      <c r="H302" s="38"/>
      <c r="I302" s="34"/>
    </row>
    <row r="303" spans="1:11" x14ac:dyDescent="0.2">
      <c r="A303" s="145"/>
      <c r="B303" s="146" t="s">
        <v>232</v>
      </c>
      <c r="C303" s="185" t="s">
        <v>8</v>
      </c>
      <c r="D303" s="186">
        <v>91</v>
      </c>
      <c r="E303" s="177"/>
      <c r="F303" s="143"/>
      <c r="G303" s="144">
        <f t="shared" si="30"/>
        <v>0</v>
      </c>
      <c r="H303" s="38"/>
      <c r="I303" s="31">
        <f>0.617*D303*6</f>
        <v>336.88200000000001</v>
      </c>
    </row>
    <row r="304" spans="1:11" x14ac:dyDescent="0.2">
      <c r="A304" s="145"/>
      <c r="B304" s="184" t="s">
        <v>14</v>
      </c>
      <c r="C304" s="185" t="s">
        <v>9</v>
      </c>
      <c r="D304" s="186">
        <f>D302*20</f>
        <v>6.7376400000000007</v>
      </c>
      <c r="E304" s="177"/>
      <c r="F304" s="143"/>
      <c r="G304" s="144">
        <f t="shared" si="30"/>
        <v>0</v>
      </c>
      <c r="H304" s="38"/>
      <c r="I304" s="31">
        <f>SUM(I302:I303)</f>
        <v>336.88200000000001</v>
      </c>
    </row>
    <row r="305" spans="1:13" x14ac:dyDescent="0.2">
      <c r="A305" s="145"/>
      <c r="B305" s="184"/>
      <c r="C305" s="185"/>
      <c r="D305" s="186"/>
      <c r="E305" s="177"/>
      <c r="F305" s="143"/>
      <c r="G305" s="144"/>
      <c r="H305" s="38"/>
      <c r="I305" s="31"/>
    </row>
    <row r="306" spans="1:13" x14ac:dyDescent="0.2">
      <c r="A306" s="145"/>
      <c r="B306" s="184"/>
      <c r="C306" s="185"/>
      <c r="D306" s="186"/>
      <c r="E306" s="177"/>
      <c r="F306" s="143"/>
      <c r="G306" s="144"/>
      <c r="H306" s="38"/>
      <c r="I306" s="31"/>
    </row>
    <row r="307" spans="1:13" x14ac:dyDescent="0.2">
      <c r="A307" s="145"/>
      <c r="B307" s="184"/>
      <c r="C307" s="185"/>
      <c r="D307" s="186"/>
      <c r="E307" s="177"/>
      <c r="F307" s="143"/>
      <c r="G307" s="144"/>
      <c r="H307" s="38"/>
      <c r="I307" s="31"/>
    </row>
    <row r="308" spans="1:13" x14ac:dyDescent="0.2">
      <c r="A308" s="145"/>
      <c r="B308" s="184"/>
      <c r="C308" s="185"/>
      <c r="D308" s="186"/>
      <c r="E308" s="177"/>
      <c r="F308" s="143"/>
      <c r="G308" s="144"/>
      <c r="H308" s="38"/>
      <c r="I308" s="31"/>
    </row>
    <row r="309" spans="1:13" x14ac:dyDescent="0.2">
      <c r="A309" s="145"/>
      <c r="B309" s="184"/>
      <c r="C309" s="185"/>
      <c r="D309" s="186"/>
      <c r="E309" s="177"/>
      <c r="F309" s="143"/>
      <c r="G309" s="144"/>
      <c r="H309" s="38"/>
      <c r="I309" s="31"/>
    </row>
    <row r="310" spans="1:13" x14ac:dyDescent="0.2">
      <c r="A310" s="145"/>
      <c r="B310" s="184"/>
      <c r="C310" s="185"/>
      <c r="D310" s="186"/>
      <c r="E310" s="177"/>
      <c r="F310" s="143"/>
      <c r="G310" s="144"/>
      <c r="H310" s="38"/>
      <c r="I310" s="31"/>
    </row>
    <row r="311" spans="1:13" x14ac:dyDescent="0.2">
      <c r="A311" s="145"/>
      <c r="B311" s="184"/>
      <c r="C311" s="185"/>
      <c r="D311" s="186"/>
      <c r="E311" s="177"/>
      <c r="F311" s="143"/>
      <c r="G311" s="144"/>
      <c r="H311" s="38"/>
      <c r="I311" s="31"/>
    </row>
    <row r="312" spans="1:13" x14ac:dyDescent="0.2">
      <c r="A312" s="145"/>
      <c r="B312" s="184"/>
      <c r="C312" s="185"/>
      <c r="D312" s="186"/>
      <c r="E312" s="177"/>
      <c r="F312" s="143"/>
      <c r="G312" s="144"/>
      <c r="H312" s="38"/>
      <c r="I312" s="31"/>
    </row>
    <row r="313" spans="1:13" x14ac:dyDescent="0.2">
      <c r="A313" s="145"/>
      <c r="B313" s="184"/>
      <c r="C313" s="185"/>
      <c r="D313" s="186"/>
      <c r="E313" s="177"/>
      <c r="F313" s="143"/>
      <c r="G313" s="144"/>
      <c r="H313" s="38"/>
      <c r="I313" s="31"/>
    </row>
    <row r="314" spans="1:13" x14ac:dyDescent="0.2">
      <c r="A314" s="145"/>
      <c r="B314" s="184"/>
      <c r="C314" s="185"/>
      <c r="D314" s="186"/>
      <c r="E314" s="177"/>
      <c r="F314" s="143"/>
      <c r="G314" s="144"/>
      <c r="H314" s="38"/>
      <c r="I314" s="31"/>
    </row>
    <row r="315" spans="1:13" x14ac:dyDescent="0.2">
      <c r="A315" s="145"/>
      <c r="B315" s="184"/>
      <c r="C315" s="185"/>
      <c r="D315" s="186"/>
      <c r="E315" s="177"/>
      <c r="F315" s="143"/>
      <c r="G315" s="144"/>
      <c r="H315" s="38"/>
      <c r="I315" s="31"/>
    </row>
    <row r="316" spans="1:13" x14ac:dyDescent="0.2">
      <c r="A316" s="131" t="s">
        <v>133</v>
      </c>
      <c r="B316" s="132" t="s">
        <v>415</v>
      </c>
      <c r="C316" s="172"/>
      <c r="D316" s="173"/>
      <c r="E316" s="173"/>
      <c r="F316" s="173"/>
      <c r="G316" s="176">
        <f t="shared" si="30"/>
        <v>0</v>
      </c>
    </row>
    <row r="317" spans="1:13" x14ac:dyDescent="0.2">
      <c r="A317" s="178" t="s">
        <v>164</v>
      </c>
      <c r="B317" s="179" t="s">
        <v>289</v>
      </c>
      <c r="C317" s="180"/>
      <c r="D317" s="181"/>
      <c r="E317" s="177"/>
      <c r="F317" s="143"/>
      <c r="G317" s="144"/>
    </row>
    <row r="318" spans="1:13" x14ac:dyDescent="0.2">
      <c r="A318" s="145" t="s">
        <v>186</v>
      </c>
      <c r="B318" s="146" t="s">
        <v>413</v>
      </c>
      <c r="C318" s="147" t="s">
        <v>131</v>
      </c>
      <c r="D318" s="148">
        <f>I321/1000</f>
        <v>1.5929760000000002</v>
      </c>
      <c r="E318" s="177"/>
      <c r="F318" s="143"/>
      <c r="G318" s="144">
        <f t="shared" ref="G318:G329" si="31">(D318*E318)+(D318*F318)</f>
        <v>0</v>
      </c>
    </row>
    <row r="319" spans="1:13" x14ac:dyDescent="0.2">
      <c r="A319" s="149"/>
      <c r="B319" s="146" t="s">
        <v>230</v>
      </c>
      <c r="C319" s="147" t="s">
        <v>8</v>
      </c>
      <c r="D319" s="148">
        <v>136</v>
      </c>
      <c r="E319" s="177"/>
      <c r="F319" s="143"/>
      <c r="G319" s="144">
        <f t="shared" si="31"/>
        <v>0</v>
      </c>
      <c r="I319" s="31">
        <f>D319*1.58*6</f>
        <v>1289.28</v>
      </c>
      <c r="J319" s="22">
        <f>19.4*3+6.5+9.8+10.7</f>
        <v>85.199999999999989</v>
      </c>
      <c r="K319" s="22">
        <f>J319/0.15</f>
        <v>568</v>
      </c>
      <c r="L319" s="22">
        <f>K319*2</f>
        <v>1136</v>
      </c>
      <c r="M319" s="22">
        <f>L319/5</f>
        <v>227.2</v>
      </c>
    </row>
    <row r="320" spans="1:13" x14ac:dyDescent="0.2">
      <c r="A320" s="145"/>
      <c r="B320" s="146" t="s">
        <v>233</v>
      </c>
      <c r="C320" s="147" t="s">
        <v>8</v>
      </c>
      <c r="D320" s="148">
        <v>228</v>
      </c>
      <c r="E320" s="177"/>
      <c r="F320" s="143"/>
      <c r="G320" s="144">
        <f t="shared" si="31"/>
        <v>0</v>
      </c>
      <c r="I320" s="31">
        <f>0.222*D320*6</f>
        <v>303.69600000000003</v>
      </c>
    </row>
    <row r="321" spans="1:17" x14ac:dyDescent="0.2">
      <c r="A321" s="145"/>
      <c r="B321" s="146" t="s">
        <v>14</v>
      </c>
      <c r="C321" s="147" t="s">
        <v>9</v>
      </c>
      <c r="D321" s="148">
        <f>D318*20</f>
        <v>31.859520000000003</v>
      </c>
      <c r="E321" s="177"/>
      <c r="F321" s="143"/>
      <c r="G321" s="144">
        <f t="shared" si="31"/>
        <v>0</v>
      </c>
      <c r="I321" s="31">
        <f>SUM(I319:I320)</f>
        <v>1592.9760000000001</v>
      </c>
      <c r="J321" s="31"/>
    </row>
    <row r="322" spans="1:17" x14ac:dyDescent="0.2">
      <c r="A322" s="145" t="s">
        <v>187</v>
      </c>
      <c r="B322" s="146" t="s">
        <v>418</v>
      </c>
      <c r="C322" s="147" t="s">
        <v>131</v>
      </c>
      <c r="D322" s="148">
        <f>I325/1000</f>
        <v>0.81709200000000015</v>
      </c>
      <c r="E322" s="177"/>
      <c r="F322" s="143"/>
      <c r="G322" s="144">
        <f t="shared" si="31"/>
        <v>0</v>
      </c>
      <c r="I322" s="31"/>
      <c r="J322" s="31"/>
    </row>
    <row r="323" spans="1:17" x14ac:dyDescent="0.2">
      <c r="A323" s="145"/>
      <c r="B323" s="146" t="s">
        <v>230</v>
      </c>
      <c r="C323" s="147" t="s">
        <v>8</v>
      </c>
      <c r="D323" s="148">
        <v>72</v>
      </c>
      <c r="E323" s="177"/>
      <c r="F323" s="143"/>
      <c r="G323" s="144">
        <f t="shared" si="31"/>
        <v>0</v>
      </c>
      <c r="I323" s="31">
        <f>D323*1.58*6</f>
        <v>682.56000000000006</v>
      </c>
      <c r="J323" s="22">
        <f>13.7*2+10.7+3.4+12.9</f>
        <v>54.399999999999991</v>
      </c>
      <c r="K323" s="22">
        <f>J323/0.15</f>
        <v>362.66666666666663</v>
      </c>
      <c r="L323" s="22">
        <f>J323/3</f>
        <v>18.133333333333329</v>
      </c>
      <c r="M323" s="22">
        <f>L323*2</f>
        <v>36.266666666666659</v>
      </c>
      <c r="N323" s="22">
        <f>M323/0.15</f>
        <v>241.77777777777774</v>
      </c>
      <c r="O323" s="22">
        <f>N323+K323</f>
        <v>604.44444444444434</v>
      </c>
      <c r="P323" s="22">
        <f>O323/6</f>
        <v>100.74074074074072</v>
      </c>
    </row>
    <row r="324" spans="1:17" x14ac:dyDescent="0.2">
      <c r="A324" s="145"/>
      <c r="B324" s="146" t="s">
        <v>233</v>
      </c>
      <c r="C324" s="147" t="s">
        <v>8</v>
      </c>
      <c r="D324" s="148">
        <v>101</v>
      </c>
      <c r="E324" s="177"/>
      <c r="F324" s="143"/>
      <c r="G324" s="144">
        <f t="shared" si="31"/>
        <v>0</v>
      </c>
      <c r="I324" s="31">
        <f>0.222*D324*6</f>
        <v>134.53200000000001</v>
      </c>
    </row>
    <row r="325" spans="1:17" x14ac:dyDescent="0.2">
      <c r="A325" s="145"/>
      <c r="B325" s="146" t="s">
        <v>14</v>
      </c>
      <c r="C325" s="147" t="s">
        <v>9</v>
      </c>
      <c r="D325" s="148">
        <f>D322*20</f>
        <v>16.341840000000005</v>
      </c>
      <c r="E325" s="177"/>
      <c r="F325" s="143"/>
      <c r="G325" s="144">
        <f t="shared" si="31"/>
        <v>0</v>
      </c>
      <c r="I325" s="31">
        <f>SUM(I323:I324)</f>
        <v>817.0920000000001</v>
      </c>
      <c r="J325" s="31"/>
    </row>
    <row r="326" spans="1:17" x14ac:dyDescent="0.2">
      <c r="A326" s="178" t="s">
        <v>165</v>
      </c>
      <c r="B326" s="179" t="s">
        <v>287</v>
      </c>
      <c r="C326" s="180" t="s">
        <v>131</v>
      </c>
      <c r="D326" s="181">
        <f>I329/1000</f>
        <v>3.7456259999999997</v>
      </c>
      <c r="E326" s="177"/>
      <c r="F326" s="143"/>
      <c r="G326" s="144">
        <f t="shared" si="31"/>
        <v>0</v>
      </c>
      <c r="H326" s="38"/>
      <c r="I326" s="34"/>
      <c r="J326" s="22">
        <f>19.4*10.7</f>
        <v>207.57999999999998</v>
      </c>
      <c r="K326" s="22">
        <f>9.8*3</f>
        <v>29.400000000000002</v>
      </c>
      <c r="L326" s="22">
        <f>SUM(J326:K326)</f>
        <v>236.98</v>
      </c>
      <c r="M326" s="22">
        <f>4.15*2.815</f>
        <v>11.682250000000002</v>
      </c>
      <c r="N326" s="22">
        <f>L326-M326</f>
        <v>225.29774999999998</v>
      </c>
      <c r="O326" s="22">
        <f>1.9*2</f>
        <v>3.8</v>
      </c>
      <c r="Q326" s="22">
        <f>SUM(N326:O326)</f>
        <v>229.09774999999999</v>
      </c>
    </row>
    <row r="327" spans="1:17" x14ac:dyDescent="0.2">
      <c r="A327" s="183" t="s">
        <v>175</v>
      </c>
      <c r="B327" s="146" t="s">
        <v>232</v>
      </c>
      <c r="C327" s="185" t="s">
        <v>8</v>
      </c>
      <c r="D327" s="186">
        <v>983</v>
      </c>
      <c r="E327" s="177"/>
      <c r="F327" s="143"/>
      <c r="G327" s="144">
        <f t="shared" si="31"/>
        <v>0</v>
      </c>
      <c r="H327" s="38"/>
      <c r="I327" s="31">
        <f>0.617*D327*6</f>
        <v>3639.0659999999998</v>
      </c>
      <c r="K327" s="22">
        <f>Q326*14</f>
        <v>3207.3685</v>
      </c>
      <c r="L327" s="22">
        <f>K327*75%</f>
        <v>2405.5263749999999</v>
      </c>
      <c r="M327" s="22">
        <f>SUM(K327:L327)</f>
        <v>5612.894875</v>
      </c>
      <c r="N327" s="22">
        <f>M327/6</f>
        <v>935.48247916666662</v>
      </c>
      <c r="O327" s="22">
        <f>N327*105%</f>
        <v>982.25660312499997</v>
      </c>
    </row>
    <row r="328" spans="1:17" x14ac:dyDescent="0.2">
      <c r="A328" s="183"/>
      <c r="B328" s="146" t="s">
        <v>231</v>
      </c>
      <c r="C328" s="185" t="s">
        <v>8</v>
      </c>
      <c r="D328" s="186">
        <v>20</v>
      </c>
      <c r="E328" s="177"/>
      <c r="F328" s="143"/>
      <c r="G328" s="144">
        <f t="shared" si="31"/>
        <v>0</v>
      </c>
      <c r="H328" s="38"/>
      <c r="I328" s="31">
        <f>0.888*D328*6</f>
        <v>106.56</v>
      </c>
    </row>
    <row r="329" spans="1:17" x14ac:dyDescent="0.2">
      <c r="A329" s="183"/>
      <c r="B329" s="184" t="s">
        <v>14</v>
      </c>
      <c r="C329" s="185" t="s">
        <v>9</v>
      </c>
      <c r="D329" s="186">
        <f>D326*15</f>
        <v>56.184389999999993</v>
      </c>
      <c r="E329" s="177"/>
      <c r="F329" s="143"/>
      <c r="G329" s="144">
        <f t="shared" si="31"/>
        <v>0</v>
      </c>
      <c r="H329" s="38"/>
      <c r="I329" s="31">
        <f>SUM(I326:I328)</f>
        <v>3745.6259999999997</v>
      </c>
    </row>
    <row r="330" spans="1:17" x14ac:dyDescent="0.2">
      <c r="A330" s="178" t="s">
        <v>177</v>
      </c>
      <c r="B330" s="179" t="s">
        <v>172</v>
      </c>
      <c r="C330" s="180"/>
      <c r="D330" s="181"/>
      <c r="E330" s="177"/>
      <c r="F330" s="143"/>
      <c r="G330" s="144"/>
    </row>
    <row r="331" spans="1:17" x14ac:dyDescent="0.2">
      <c r="A331" s="145"/>
      <c r="B331" s="194" t="s">
        <v>426</v>
      </c>
      <c r="C331" s="151" t="s">
        <v>131</v>
      </c>
      <c r="D331" s="152">
        <f>I334/1000</f>
        <v>0.51098399999999999</v>
      </c>
      <c r="E331" s="177"/>
      <c r="F331" s="143"/>
      <c r="G331" s="144">
        <f t="shared" ref="G331:G352" si="32">(D331*E331)+(D331*F331)</f>
        <v>0</v>
      </c>
    </row>
    <row r="332" spans="1:17" x14ac:dyDescent="0.2">
      <c r="A332" s="149"/>
      <c r="B332" s="146" t="s">
        <v>230</v>
      </c>
      <c r="C332" s="147" t="s">
        <v>8</v>
      </c>
      <c r="D332" s="148">
        <v>48</v>
      </c>
      <c r="E332" s="177"/>
      <c r="F332" s="143"/>
      <c r="G332" s="144">
        <f t="shared" si="32"/>
        <v>0</v>
      </c>
      <c r="I332" s="31">
        <f>D332*1.58*6</f>
        <v>455.04</v>
      </c>
      <c r="J332" s="22">
        <f>4*29</f>
        <v>116</v>
      </c>
      <c r="L332" s="22">
        <f>5.025/0.15</f>
        <v>33.500000000000007</v>
      </c>
      <c r="M332" s="22">
        <f>35*29</f>
        <v>1015</v>
      </c>
      <c r="N332" s="22">
        <f>M332/11</f>
        <v>92.272727272727266</v>
      </c>
    </row>
    <row r="333" spans="1:17" x14ac:dyDescent="0.2">
      <c r="A333" s="145"/>
      <c r="B333" s="146" t="s">
        <v>233</v>
      </c>
      <c r="C333" s="147" t="s">
        <v>8</v>
      </c>
      <c r="D333" s="148">
        <v>42</v>
      </c>
      <c r="E333" s="177"/>
      <c r="F333" s="143"/>
      <c r="G333" s="144">
        <f t="shared" si="32"/>
        <v>0</v>
      </c>
      <c r="I333" s="31">
        <f>0.222*D333*6</f>
        <v>55.944000000000003</v>
      </c>
    </row>
    <row r="334" spans="1:17" x14ac:dyDescent="0.2">
      <c r="A334" s="145"/>
      <c r="B334" s="184" t="s">
        <v>14</v>
      </c>
      <c r="C334" s="185" t="s">
        <v>9</v>
      </c>
      <c r="D334" s="186">
        <f>D331*20</f>
        <v>10.21968</v>
      </c>
      <c r="E334" s="177"/>
      <c r="F334" s="143"/>
      <c r="G334" s="189">
        <f t="shared" si="32"/>
        <v>0</v>
      </c>
      <c r="I334" s="31">
        <f>SUM(I332:I333)</f>
        <v>510.98400000000004</v>
      </c>
      <c r="J334" s="31"/>
    </row>
    <row r="335" spans="1:17" x14ac:dyDescent="0.2">
      <c r="A335" s="145"/>
      <c r="B335" s="194" t="s">
        <v>427</v>
      </c>
      <c r="C335" s="151" t="s">
        <v>131</v>
      </c>
      <c r="D335" s="152">
        <f>I338/1000</f>
        <v>0.17017200000000002</v>
      </c>
      <c r="E335" s="177"/>
      <c r="F335" s="143"/>
      <c r="G335" s="144">
        <f t="shared" si="32"/>
        <v>0</v>
      </c>
      <c r="I335" s="31"/>
      <c r="J335" s="31"/>
    </row>
    <row r="336" spans="1:17" x14ac:dyDescent="0.2">
      <c r="A336" s="145"/>
      <c r="B336" s="146" t="s">
        <v>230</v>
      </c>
      <c r="C336" s="147" t="s">
        <v>8</v>
      </c>
      <c r="D336" s="148">
        <v>15</v>
      </c>
      <c r="E336" s="177"/>
      <c r="F336" s="143"/>
      <c r="G336" s="144">
        <f t="shared" si="32"/>
        <v>0</v>
      </c>
      <c r="I336" s="31">
        <f>D336*1.58*6</f>
        <v>142.20000000000002</v>
      </c>
      <c r="J336" s="22">
        <f>6*4</f>
        <v>24</v>
      </c>
    </row>
    <row r="337" spans="1:11" x14ac:dyDescent="0.2">
      <c r="A337" s="145"/>
      <c r="B337" s="146" t="s">
        <v>233</v>
      </c>
      <c r="C337" s="147" t="s">
        <v>8</v>
      </c>
      <c r="D337" s="148">
        <v>21</v>
      </c>
      <c r="E337" s="177"/>
      <c r="F337" s="143"/>
      <c r="G337" s="144">
        <f t="shared" si="32"/>
        <v>0</v>
      </c>
      <c r="I337" s="31">
        <f>0.222*D337*6</f>
        <v>27.972000000000001</v>
      </c>
    </row>
    <row r="338" spans="1:11" x14ac:dyDescent="0.2">
      <c r="A338" s="145"/>
      <c r="B338" s="146" t="s">
        <v>14</v>
      </c>
      <c r="C338" s="147" t="s">
        <v>9</v>
      </c>
      <c r="D338" s="148">
        <f>D335*20</f>
        <v>3.4034400000000002</v>
      </c>
      <c r="E338" s="177"/>
      <c r="F338" s="143"/>
      <c r="G338" s="144">
        <f t="shared" si="32"/>
        <v>0</v>
      </c>
      <c r="I338" s="31">
        <f>SUM(I336:I337)</f>
        <v>170.17200000000003</v>
      </c>
      <c r="J338" s="31"/>
    </row>
    <row r="339" spans="1:11" x14ac:dyDescent="0.2">
      <c r="A339" s="145"/>
      <c r="B339" s="146"/>
      <c r="C339" s="147"/>
      <c r="D339" s="148"/>
      <c r="E339" s="177"/>
      <c r="F339" s="143"/>
      <c r="G339" s="144"/>
      <c r="I339" s="31"/>
      <c r="J339" s="31"/>
    </row>
    <row r="340" spans="1:11" x14ac:dyDescent="0.2">
      <c r="A340" s="145"/>
      <c r="B340" s="146"/>
      <c r="C340" s="147"/>
      <c r="D340" s="148"/>
      <c r="E340" s="177"/>
      <c r="F340" s="143"/>
      <c r="G340" s="144"/>
      <c r="I340" s="31"/>
      <c r="J340" s="31"/>
    </row>
    <row r="341" spans="1:11" x14ac:dyDescent="0.2">
      <c r="A341" s="145"/>
      <c r="B341" s="194" t="s">
        <v>430</v>
      </c>
      <c r="C341" s="151" t="s">
        <v>131</v>
      </c>
      <c r="D341" s="152">
        <f>I344/1000</f>
        <v>0.41587200000000002</v>
      </c>
      <c r="E341" s="177"/>
      <c r="F341" s="143"/>
      <c r="G341" s="144">
        <f t="shared" si="32"/>
        <v>0</v>
      </c>
      <c r="I341" s="31"/>
      <c r="J341" s="31"/>
    </row>
    <row r="342" spans="1:11" x14ac:dyDescent="0.2">
      <c r="A342" s="145"/>
      <c r="B342" s="146" t="s">
        <v>230</v>
      </c>
      <c r="C342" s="147" t="s">
        <v>8</v>
      </c>
      <c r="D342" s="148">
        <v>36</v>
      </c>
      <c r="E342" s="177"/>
      <c r="F342" s="143"/>
      <c r="G342" s="144">
        <f t="shared" si="32"/>
        <v>0</v>
      </c>
      <c r="I342" s="31">
        <f>D342*1.58*6</f>
        <v>341.28000000000003</v>
      </c>
      <c r="J342" s="22">
        <f>6*4</f>
        <v>24</v>
      </c>
    </row>
    <row r="343" spans="1:11" x14ac:dyDescent="0.2">
      <c r="A343" s="145"/>
      <c r="B343" s="146" t="s">
        <v>233</v>
      </c>
      <c r="C343" s="147" t="s">
        <v>8</v>
      </c>
      <c r="D343" s="148">
        <v>56</v>
      </c>
      <c r="E343" s="177"/>
      <c r="F343" s="143"/>
      <c r="G343" s="144">
        <f t="shared" si="32"/>
        <v>0</v>
      </c>
      <c r="I343" s="31">
        <f>0.222*D343*6</f>
        <v>74.591999999999999</v>
      </c>
    </row>
    <row r="344" spans="1:11" x14ac:dyDescent="0.2">
      <c r="A344" s="145"/>
      <c r="B344" s="146" t="s">
        <v>14</v>
      </c>
      <c r="C344" s="147" t="s">
        <v>9</v>
      </c>
      <c r="D344" s="148">
        <f>D341*20</f>
        <v>8.3174400000000013</v>
      </c>
      <c r="E344" s="177"/>
      <c r="F344" s="143"/>
      <c r="G344" s="144">
        <f t="shared" si="32"/>
        <v>0</v>
      </c>
      <c r="I344" s="31">
        <f>SUM(I342:I343)</f>
        <v>415.87200000000001</v>
      </c>
      <c r="J344" s="31"/>
    </row>
    <row r="345" spans="1:11" x14ac:dyDescent="0.2">
      <c r="A345" s="145"/>
      <c r="B345" s="194" t="s">
        <v>428</v>
      </c>
      <c r="C345" s="151" t="s">
        <v>131</v>
      </c>
      <c r="D345" s="152">
        <f>I348/1000</f>
        <v>0.28238400000000002</v>
      </c>
      <c r="E345" s="177"/>
      <c r="F345" s="143"/>
      <c r="G345" s="144">
        <f t="shared" si="32"/>
        <v>0</v>
      </c>
      <c r="I345" s="31"/>
      <c r="J345" s="31"/>
    </row>
    <row r="346" spans="1:11" x14ac:dyDescent="0.2">
      <c r="A346" s="145"/>
      <c r="B346" s="146" t="s">
        <v>231</v>
      </c>
      <c r="C346" s="147" t="s">
        <v>8</v>
      </c>
      <c r="D346" s="148">
        <v>48</v>
      </c>
      <c r="E346" s="177"/>
      <c r="F346" s="143"/>
      <c r="G346" s="144">
        <f t="shared" si="32"/>
        <v>0</v>
      </c>
      <c r="I346" s="31">
        <f>D346*0.888*6</f>
        <v>255.74400000000003</v>
      </c>
      <c r="J346" s="22">
        <f>6*4</f>
        <v>24</v>
      </c>
    </row>
    <row r="347" spans="1:11" x14ac:dyDescent="0.2">
      <c r="A347" s="145"/>
      <c r="B347" s="146" t="s">
        <v>233</v>
      </c>
      <c r="C347" s="147" t="s">
        <v>8</v>
      </c>
      <c r="D347" s="148">
        <v>20</v>
      </c>
      <c r="E347" s="177"/>
      <c r="F347" s="143"/>
      <c r="G347" s="144">
        <f t="shared" si="32"/>
        <v>0</v>
      </c>
      <c r="I347" s="31">
        <f>0.222*D347*6</f>
        <v>26.64</v>
      </c>
    </row>
    <row r="348" spans="1:11" x14ac:dyDescent="0.2">
      <c r="A348" s="145"/>
      <c r="B348" s="146" t="s">
        <v>14</v>
      </c>
      <c r="C348" s="147" t="s">
        <v>9</v>
      </c>
      <c r="D348" s="148">
        <f>D345*20</f>
        <v>5.6476800000000003</v>
      </c>
      <c r="E348" s="177"/>
      <c r="F348" s="143"/>
      <c r="G348" s="144">
        <f t="shared" si="32"/>
        <v>0</v>
      </c>
      <c r="I348" s="31">
        <f>SUM(I346:I347)</f>
        <v>282.38400000000001</v>
      </c>
      <c r="J348" s="31"/>
    </row>
    <row r="349" spans="1:11" x14ac:dyDescent="0.2">
      <c r="A349" s="145"/>
      <c r="B349" s="194" t="s">
        <v>429</v>
      </c>
      <c r="C349" s="151" t="s">
        <v>131</v>
      </c>
      <c r="D349" s="152">
        <f>I352/1000</f>
        <v>0.11061</v>
      </c>
      <c r="E349" s="177"/>
      <c r="F349" s="143"/>
      <c r="G349" s="144">
        <f t="shared" si="32"/>
        <v>0</v>
      </c>
      <c r="I349" s="31"/>
      <c r="J349" s="31"/>
    </row>
    <row r="350" spans="1:11" x14ac:dyDescent="0.2">
      <c r="A350" s="145"/>
      <c r="B350" s="146" t="s">
        <v>232</v>
      </c>
      <c r="C350" s="147" t="s">
        <v>8</v>
      </c>
      <c r="D350" s="148">
        <v>27</v>
      </c>
      <c r="E350" s="177"/>
      <c r="F350" s="143"/>
      <c r="G350" s="144">
        <f t="shared" si="32"/>
        <v>0</v>
      </c>
      <c r="I350" s="31">
        <f>D350*0.617*6</f>
        <v>99.953999999999994</v>
      </c>
      <c r="J350" s="31">
        <f>33*6</f>
        <v>198</v>
      </c>
      <c r="K350" s="48">
        <f>J350/18</f>
        <v>11</v>
      </c>
    </row>
    <row r="351" spans="1:11" x14ac:dyDescent="0.2">
      <c r="A351" s="145"/>
      <c r="B351" s="146" t="s">
        <v>233</v>
      </c>
      <c r="C351" s="147" t="s">
        <v>8</v>
      </c>
      <c r="D351" s="148">
        <v>8</v>
      </c>
      <c r="E351" s="177"/>
      <c r="F351" s="143"/>
      <c r="G351" s="144">
        <f t="shared" si="32"/>
        <v>0</v>
      </c>
      <c r="I351" s="31">
        <f>0.222*D351*6</f>
        <v>10.656000000000001</v>
      </c>
      <c r="J351" s="31"/>
    </row>
    <row r="352" spans="1:11" x14ac:dyDescent="0.2">
      <c r="A352" s="145"/>
      <c r="B352" s="146" t="s">
        <v>14</v>
      </c>
      <c r="C352" s="147" t="s">
        <v>9</v>
      </c>
      <c r="D352" s="148">
        <f>D349*20</f>
        <v>2.2122000000000002</v>
      </c>
      <c r="E352" s="177"/>
      <c r="F352" s="143"/>
      <c r="G352" s="144">
        <f t="shared" si="32"/>
        <v>0</v>
      </c>
      <c r="I352" s="31">
        <f>SUM(I350:I351)</f>
        <v>110.61</v>
      </c>
      <c r="J352" s="31"/>
    </row>
    <row r="353" spans="1:16" x14ac:dyDescent="0.2">
      <c r="A353" s="145"/>
      <c r="B353" s="146"/>
      <c r="C353" s="147"/>
      <c r="D353" s="148"/>
      <c r="E353" s="177"/>
      <c r="F353" s="143"/>
      <c r="G353" s="144"/>
      <c r="I353" s="31"/>
      <c r="J353" s="31"/>
    </row>
    <row r="354" spans="1:16" x14ac:dyDescent="0.2">
      <c r="A354" s="131" t="s">
        <v>416</v>
      </c>
      <c r="B354" s="132" t="s">
        <v>281</v>
      </c>
      <c r="C354" s="172"/>
      <c r="D354" s="173"/>
      <c r="E354" s="174"/>
      <c r="F354" s="175"/>
      <c r="G354" s="176">
        <f t="shared" ref="G354" si="33">(D354*E354)+(D354*F354)</f>
        <v>0</v>
      </c>
    </row>
    <row r="355" spans="1:16" x14ac:dyDescent="0.2">
      <c r="A355" s="178" t="s">
        <v>164</v>
      </c>
      <c r="B355" s="179" t="s">
        <v>289</v>
      </c>
      <c r="C355" s="180"/>
      <c r="D355" s="181"/>
      <c r="E355" s="182"/>
      <c r="F355" s="143"/>
      <c r="G355" s="144"/>
    </row>
    <row r="356" spans="1:16" x14ac:dyDescent="0.2">
      <c r="A356" s="145" t="s">
        <v>186</v>
      </c>
      <c r="B356" s="146" t="s">
        <v>413</v>
      </c>
      <c r="C356" s="147" t="s">
        <v>131</v>
      </c>
      <c r="D356" s="148">
        <f>I359/1000</f>
        <v>0.75190800000000002</v>
      </c>
      <c r="E356" s="177"/>
      <c r="F356" s="143"/>
      <c r="G356" s="144">
        <f t="shared" ref="G356:G374" si="34">(D356*E356)+(D356*F356)</f>
        <v>0</v>
      </c>
    </row>
    <row r="357" spans="1:16" x14ac:dyDescent="0.2">
      <c r="A357" s="149"/>
      <c r="B357" s="146" t="s">
        <v>230</v>
      </c>
      <c r="C357" s="147" t="s">
        <v>8</v>
      </c>
      <c r="D357" s="148">
        <v>64</v>
      </c>
      <c r="E357" s="177"/>
      <c r="F357" s="143"/>
      <c r="G357" s="144">
        <f t="shared" si="34"/>
        <v>0</v>
      </c>
      <c r="I357" s="31">
        <f>D357*1.58*6</f>
        <v>606.72</v>
      </c>
      <c r="J357" s="22">
        <v>40.6</v>
      </c>
      <c r="K357" s="22">
        <f>J357/0.15</f>
        <v>270.66666666666669</v>
      </c>
      <c r="L357" s="22">
        <f>K357*2</f>
        <v>541.33333333333337</v>
      </c>
      <c r="M357" s="22">
        <f>L357/5</f>
        <v>108.26666666666668</v>
      </c>
    </row>
    <row r="358" spans="1:16" x14ac:dyDescent="0.2">
      <c r="A358" s="145"/>
      <c r="B358" s="146" t="s">
        <v>233</v>
      </c>
      <c r="C358" s="147" t="s">
        <v>8</v>
      </c>
      <c r="D358" s="148">
        <v>109</v>
      </c>
      <c r="E358" s="177"/>
      <c r="F358" s="143"/>
      <c r="G358" s="144">
        <f t="shared" si="34"/>
        <v>0</v>
      </c>
      <c r="I358" s="31">
        <f>0.222*D358*6</f>
        <v>145.18799999999999</v>
      </c>
    </row>
    <row r="359" spans="1:16" x14ac:dyDescent="0.2">
      <c r="A359" s="145"/>
      <c r="B359" s="146" t="s">
        <v>14</v>
      </c>
      <c r="C359" s="147" t="s">
        <v>9</v>
      </c>
      <c r="D359" s="148">
        <f>D356*20</f>
        <v>15.038160000000001</v>
      </c>
      <c r="E359" s="177"/>
      <c r="F359" s="143"/>
      <c r="G359" s="144">
        <f t="shared" si="34"/>
        <v>0</v>
      </c>
      <c r="I359" s="31">
        <f>SUM(I357:I358)</f>
        <v>751.90800000000002</v>
      </c>
      <c r="J359" s="31"/>
    </row>
    <row r="360" spans="1:16" x14ac:dyDescent="0.2">
      <c r="A360" s="145" t="s">
        <v>187</v>
      </c>
      <c r="B360" s="146" t="s">
        <v>418</v>
      </c>
      <c r="C360" s="147" t="s">
        <v>131</v>
      </c>
      <c r="D360" s="148">
        <f>I363/1000</f>
        <v>0.13922399999999999</v>
      </c>
      <c r="E360" s="177"/>
      <c r="F360" s="143"/>
      <c r="G360" s="144">
        <f t="shared" si="34"/>
        <v>0</v>
      </c>
      <c r="I360" s="31"/>
      <c r="J360" s="31"/>
    </row>
    <row r="361" spans="1:16" x14ac:dyDescent="0.2">
      <c r="A361" s="145"/>
      <c r="B361" s="146" t="s">
        <v>230</v>
      </c>
      <c r="C361" s="147" t="s">
        <v>8</v>
      </c>
      <c r="D361" s="148">
        <v>13</v>
      </c>
      <c r="E361" s="177"/>
      <c r="F361" s="143"/>
      <c r="G361" s="144">
        <f t="shared" si="34"/>
        <v>0</v>
      </c>
      <c r="I361" s="31">
        <f>D361*1.58*6</f>
        <v>123.24</v>
      </c>
      <c r="J361" s="22">
        <v>6.4</v>
      </c>
      <c r="K361" s="22">
        <f>J361/0.15</f>
        <v>42.666666666666671</v>
      </c>
      <c r="L361" s="22">
        <f>J361/3</f>
        <v>2.1333333333333333</v>
      </c>
      <c r="M361" s="22">
        <f>L361*2</f>
        <v>4.2666666666666666</v>
      </c>
      <c r="N361" s="22">
        <f>M361/0.15</f>
        <v>28.444444444444446</v>
      </c>
      <c r="O361" s="22">
        <f>N361+K361</f>
        <v>71.111111111111114</v>
      </c>
      <c r="P361" s="22">
        <f>O361/6</f>
        <v>11.851851851851853</v>
      </c>
    </row>
    <row r="362" spans="1:16" x14ac:dyDescent="0.2">
      <c r="A362" s="145"/>
      <c r="B362" s="146" t="s">
        <v>233</v>
      </c>
      <c r="C362" s="147" t="s">
        <v>8</v>
      </c>
      <c r="D362" s="148">
        <v>12</v>
      </c>
      <c r="E362" s="177"/>
      <c r="F362" s="143"/>
      <c r="G362" s="144">
        <f t="shared" si="34"/>
        <v>0</v>
      </c>
      <c r="I362" s="31">
        <f>0.222*D362*6</f>
        <v>15.984000000000002</v>
      </c>
    </row>
    <row r="363" spans="1:16" x14ac:dyDescent="0.2">
      <c r="A363" s="145"/>
      <c r="B363" s="146" t="s">
        <v>14</v>
      </c>
      <c r="C363" s="147" t="s">
        <v>9</v>
      </c>
      <c r="D363" s="148">
        <f>D360*20</f>
        <v>2.7844799999999998</v>
      </c>
      <c r="E363" s="177"/>
      <c r="F363" s="143"/>
      <c r="G363" s="144">
        <f t="shared" si="34"/>
        <v>0</v>
      </c>
      <c r="I363" s="31">
        <f>SUM(I361:I362)</f>
        <v>139.22399999999999</v>
      </c>
      <c r="J363" s="31"/>
    </row>
    <row r="364" spans="1:16" x14ac:dyDescent="0.2">
      <c r="A364" s="145" t="s">
        <v>187</v>
      </c>
      <c r="B364" s="146" t="s">
        <v>419</v>
      </c>
      <c r="C364" s="147" t="s">
        <v>131</v>
      </c>
      <c r="D364" s="148">
        <f>I367/1000</f>
        <v>1.0927200000000004</v>
      </c>
      <c r="E364" s="177"/>
      <c r="F364" s="143"/>
      <c r="G364" s="144">
        <f t="shared" ref="G364:G371" si="35">(D364*E364)+(D364*F364)</f>
        <v>0</v>
      </c>
      <c r="I364" s="31"/>
      <c r="J364" s="31"/>
    </row>
    <row r="365" spans="1:16" x14ac:dyDescent="0.2">
      <c r="A365" s="145"/>
      <c r="B365" s="146" t="s">
        <v>230</v>
      </c>
      <c r="C365" s="147" t="s">
        <v>8</v>
      </c>
      <c r="D365" s="148">
        <v>97</v>
      </c>
      <c r="E365" s="177"/>
      <c r="F365" s="143"/>
      <c r="G365" s="144">
        <f t="shared" si="35"/>
        <v>0</v>
      </c>
      <c r="I365" s="31">
        <f>D365*1.58*6</f>
        <v>919.56000000000017</v>
      </c>
      <c r="J365" s="22">
        <v>69.8</v>
      </c>
      <c r="K365" s="22">
        <f>J365/0.15</f>
        <v>465.33333333333331</v>
      </c>
      <c r="L365" s="22">
        <f>J365/3</f>
        <v>23.266666666666666</v>
      </c>
      <c r="M365" s="22">
        <f>L365*2</f>
        <v>46.533333333333331</v>
      </c>
      <c r="N365" s="22">
        <f>M365/0.15</f>
        <v>310.22222222222223</v>
      </c>
      <c r="O365" s="22">
        <f>N365+K365</f>
        <v>775.55555555555554</v>
      </c>
      <c r="P365" s="22">
        <f>O365/6</f>
        <v>129.25925925925927</v>
      </c>
    </row>
    <row r="366" spans="1:16" x14ac:dyDescent="0.2">
      <c r="A366" s="145"/>
      <c r="B366" s="146" t="s">
        <v>233</v>
      </c>
      <c r="C366" s="147" t="s">
        <v>8</v>
      </c>
      <c r="D366" s="148">
        <v>130</v>
      </c>
      <c r="E366" s="177"/>
      <c r="F366" s="143"/>
      <c r="G366" s="144">
        <f t="shared" si="35"/>
        <v>0</v>
      </c>
      <c r="I366" s="31">
        <f>0.222*D366*6</f>
        <v>173.16</v>
      </c>
    </row>
    <row r="367" spans="1:16" x14ac:dyDescent="0.2">
      <c r="A367" s="145"/>
      <c r="B367" s="146" t="s">
        <v>14</v>
      </c>
      <c r="C367" s="147" t="s">
        <v>9</v>
      </c>
      <c r="D367" s="148">
        <f>D364*20</f>
        <v>21.854400000000005</v>
      </c>
      <c r="E367" s="177"/>
      <c r="F367" s="143"/>
      <c r="G367" s="144">
        <f t="shared" si="35"/>
        <v>0</v>
      </c>
      <c r="I367" s="31">
        <f>SUM(I365:I366)</f>
        <v>1092.7200000000003</v>
      </c>
      <c r="J367" s="31"/>
    </row>
    <row r="368" spans="1:16" x14ac:dyDescent="0.2">
      <c r="A368" s="145" t="s">
        <v>187</v>
      </c>
      <c r="B368" s="146" t="s">
        <v>432</v>
      </c>
      <c r="C368" s="147" t="s">
        <v>131</v>
      </c>
      <c r="D368" s="148">
        <f>I371/1000</f>
        <v>0.39675600000000005</v>
      </c>
      <c r="E368" s="177"/>
      <c r="F368" s="143"/>
      <c r="G368" s="144">
        <f t="shared" si="35"/>
        <v>0</v>
      </c>
      <c r="I368" s="31"/>
      <c r="J368" s="31"/>
    </row>
    <row r="369" spans="1:13" x14ac:dyDescent="0.2">
      <c r="A369" s="145"/>
      <c r="B369" s="146" t="s">
        <v>230</v>
      </c>
      <c r="C369" s="147" t="s">
        <v>8</v>
      </c>
      <c r="D369" s="148">
        <v>33</v>
      </c>
      <c r="E369" s="177"/>
      <c r="F369" s="143"/>
      <c r="G369" s="144">
        <f t="shared" si="35"/>
        <v>0</v>
      </c>
      <c r="I369" s="31">
        <f>D369*1.58*6</f>
        <v>312.84000000000003</v>
      </c>
      <c r="J369" s="22">
        <v>18.899999999999999</v>
      </c>
      <c r="K369" s="22">
        <f>J369/0.15</f>
        <v>126</v>
      </c>
      <c r="L369" s="22">
        <f>K369*2</f>
        <v>252</v>
      </c>
      <c r="M369" s="22">
        <f>L369/4</f>
        <v>63</v>
      </c>
    </row>
    <row r="370" spans="1:13" x14ac:dyDescent="0.2">
      <c r="A370" s="145"/>
      <c r="B370" s="146" t="s">
        <v>233</v>
      </c>
      <c r="C370" s="147" t="s">
        <v>8</v>
      </c>
      <c r="D370" s="148">
        <v>63</v>
      </c>
      <c r="E370" s="177"/>
      <c r="F370" s="143"/>
      <c r="G370" s="144">
        <f t="shared" si="35"/>
        <v>0</v>
      </c>
      <c r="I370" s="31">
        <f>0.222*D370*6</f>
        <v>83.915999999999997</v>
      </c>
    </row>
    <row r="371" spans="1:13" x14ac:dyDescent="0.2">
      <c r="A371" s="145"/>
      <c r="B371" s="146" t="s">
        <v>14</v>
      </c>
      <c r="C371" s="147" t="s">
        <v>9</v>
      </c>
      <c r="D371" s="148">
        <f>D368*20</f>
        <v>7.9351200000000013</v>
      </c>
      <c r="E371" s="177"/>
      <c r="F371" s="143"/>
      <c r="G371" s="144">
        <f t="shared" si="35"/>
        <v>0</v>
      </c>
      <c r="I371" s="31">
        <f>SUM(I369:I370)</f>
        <v>396.75600000000003</v>
      </c>
      <c r="J371" s="31"/>
    </row>
    <row r="372" spans="1:13" x14ac:dyDescent="0.2">
      <c r="A372" s="178" t="s">
        <v>165</v>
      </c>
      <c r="B372" s="179" t="s">
        <v>287</v>
      </c>
      <c r="C372" s="180" t="s">
        <v>131</v>
      </c>
      <c r="D372" s="181">
        <f>I374/1000</f>
        <v>0.99953999999999998</v>
      </c>
      <c r="E372" s="182"/>
      <c r="F372" s="143"/>
      <c r="G372" s="144">
        <f t="shared" si="34"/>
        <v>0</v>
      </c>
      <c r="H372" s="38"/>
      <c r="I372" s="34"/>
      <c r="J372" s="22">
        <f>9.8*3.415</f>
        <v>33.467000000000006</v>
      </c>
    </row>
    <row r="373" spans="1:13" x14ac:dyDescent="0.2">
      <c r="A373" s="183" t="s">
        <v>175</v>
      </c>
      <c r="B373" s="146" t="s">
        <v>232</v>
      </c>
      <c r="C373" s="185" t="s">
        <v>8</v>
      </c>
      <c r="D373" s="186">
        <v>270</v>
      </c>
      <c r="E373" s="187"/>
      <c r="F373" s="188"/>
      <c r="G373" s="144">
        <f t="shared" si="34"/>
        <v>0</v>
      </c>
      <c r="H373" s="38"/>
      <c r="I373" s="31">
        <f>0.617*D373*6</f>
        <v>999.54</v>
      </c>
      <c r="J373" s="22">
        <f>J372*22*2</f>
        <v>1472.5480000000002</v>
      </c>
      <c r="K373" s="22">
        <f>J373/6</f>
        <v>245.4246666666667</v>
      </c>
      <c r="L373" s="22">
        <f>K373*110%</f>
        <v>269.96713333333338</v>
      </c>
    </row>
    <row r="374" spans="1:13" x14ac:dyDescent="0.2">
      <c r="A374" s="183"/>
      <c r="B374" s="184" t="s">
        <v>14</v>
      </c>
      <c r="C374" s="185" t="s">
        <v>9</v>
      </c>
      <c r="D374" s="186">
        <f>D372*15</f>
        <v>14.9931</v>
      </c>
      <c r="E374" s="187"/>
      <c r="F374" s="188"/>
      <c r="G374" s="144">
        <f t="shared" si="34"/>
        <v>0</v>
      </c>
      <c r="H374" s="38"/>
      <c r="I374" s="31">
        <f>SUM(I372:I373)</f>
        <v>999.54</v>
      </c>
    </row>
    <row r="375" spans="1:13" x14ac:dyDescent="0.2">
      <c r="A375" s="183"/>
      <c r="B375" s="184"/>
      <c r="C375" s="185"/>
      <c r="D375" s="186"/>
      <c r="E375" s="187"/>
      <c r="F375" s="188"/>
      <c r="G375" s="144"/>
      <c r="H375" s="38"/>
      <c r="I375" s="31"/>
    </row>
    <row r="376" spans="1:13" x14ac:dyDescent="0.2">
      <c r="A376" s="183"/>
      <c r="B376" s="184"/>
      <c r="C376" s="185"/>
      <c r="D376" s="186"/>
      <c r="E376" s="187"/>
      <c r="F376" s="188"/>
      <c r="G376" s="144"/>
      <c r="H376" s="38"/>
      <c r="I376" s="31"/>
    </row>
    <row r="377" spans="1:13" x14ac:dyDescent="0.2">
      <c r="A377" s="183"/>
      <c r="B377" s="184"/>
      <c r="C377" s="185"/>
      <c r="D377" s="186"/>
      <c r="E377" s="187"/>
      <c r="F377" s="188"/>
      <c r="G377" s="144"/>
      <c r="H377" s="38"/>
      <c r="I377" s="31"/>
    </row>
    <row r="378" spans="1:13" x14ac:dyDescent="0.2">
      <c r="A378" s="183"/>
      <c r="B378" s="184"/>
      <c r="C378" s="185"/>
      <c r="D378" s="186"/>
      <c r="E378" s="187"/>
      <c r="F378" s="188"/>
      <c r="G378" s="144"/>
      <c r="H378" s="38"/>
      <c r="I378" s="31"/>
    </row>
    <row r="379" spans="1:13" x14ac:dyDescent="0.2">
      <c r="A379" s="183"/>
      <c r="B379" s="184"/>
      <c r="C379" s="185"/>
      <c r="D379" s="186"/>
      <c r="E379" s="187"/>
      <c r="F379" s="188"/>
      <c r="G379" s="144"/>
      <c r="H379" s="38"/>
      <c r="I379" s="31"/>
    </row>
    <row r="380" spans="1:13" x14ac:dyDescent="0.2">
      <c r="A380" s="183"/>
      <c r="B380" s="184"/>
      <c r="C380" s="185"/>
      <c r="D380" s="186"/>
      <c r="E380" s="187"/>
      <c r="F380" s="188"/>
      <c r="G380" s="144"/>
      <c r="H380" s="38"/>
      <c r="I380" s="31"/>
    </row>
    <row r="381" spans="1:13" x14ac:dyDescent="0.2">
      <c r="A381" s="183"/>
      <c r="B381" s="184"/>
      <c r="C381" s="185"/>
      <c r="D381" s="186"/>
      <c r="E381" s="187"/>
      <c r="F381" s="188"/>
      <c r="G381" s="144"/>
      <c r="H381" s="38"/>
      <c r="I381" s="31"/>
    </row>
    <row r="382" spans="1:13" x14ac:dyDescent="0.2">
      <c r="A382" s="183"/>
      <c r="B382" s="184"/>
      <c r="C382" s="185"/>
      <c r="D382" s="186"/>
      <c r="E382" s="187"/>
      <c r="F382" s="188"/>
      <c r="G382" s="144"/>
      <c r="H382" s="38"/>
      <c r="I382" s="31"/>
    </row>
    <row r="383" spans="1:13" x14ac:dyDescent="0.2">
      <c r="A383" s="183"/>
      <c r="B383" s="184"/>
      <c r="C383" s="185"/>
      <c r="D383" s="186"/>
      <c r="E383" s="187"/>
      <c r="F383" s="188"/>
      <c r="G383" s="144"/>
      <c r="H383" s="38"/>
      <c r="I383" s="31"/>
    </row>
    <row r="384" spans="1:13" x14ac:dyDescent="0.2">
      <c r="A384" s="183"/>
      <c r="B384" s="184"/>
      <c r="C384" s="185"/>
      <c r="D384" s="186"/>
      <c r="E384" s="187"/>
      <c r="F384" s="188"/>
      <c r="G384" s="144"/>
      <c r="H384" s="38"/>
      <c r="I384" s="31"/>
    </row>
    <row r="385" spans="1:13" x14ac:dyDescent="0.2">
      <c r="A385" s="183"/>
      <c r="B385" s="184"/>
      <c r="C385" s="185"/>
      <c r="D385" s="186"/>
      <c r="E385" s="187"/>
      <c r="F385" s="188"/>
      <c r="G385" s="144"/>
      <c r="H385" s="38"/>
      <c r="I385" s="31"/>
    </row>
    <row r="386" spans="1:13" x14ac:dyDescent="0.2">
      <c r="A386" s="183"/>
      <c r="B386" s="184"/>
      <c r="C386" s="185"/>
      <c r="D386" s="186"/>
      <c r="E386" s="187"/>
      <c r="F386" s="188"/>
      <c r="G386" s="144"/>
      <c r="H386" s="38"/>
      <c r="I386" s="31"/>
    </row>
    <row r="387" spans="1:13" x14ac:dyDescent="0.2">
      <c r="A387" s="131" t="s">
        <v>152</v>
      </c>
      <c r="B387" s="132" t="s">
        <v>204</v>
      </c>
      <c r="C387" s="172"/>
      <c r="D387" s="173"/>
      <c r="E387" s="174"/>
      <c r="F387" s="175"/>
      <c r="G387" s="176">
        <f>(D387*E387)+(D387*F387)</f>
        <v>0</v>
      </c>
    </row>
    <row r="388" spans="1:13" x14ac:dyDescent="0.2">
      <c r="A388" s="190" t="s">
        <v>186</v>
      </c>
      <c r="B388" s="150" t="s">
        <v>290</v>
      </c>
      <c r="C388" s="147"/>
      <c r="D388" s="148"/>
      <c r="E388" s="177"/>
      <c r="F388" s="143"/>
      <c r="G388" s="144">
        <f t="shared" ref="G388:G400" si="36">(D388*E388)+(D388*F388)</f>
        <v>0</v>
      </c>
    </row>
    <row r="389" spans="1:13" ht="48" customHeight="1" x14ac:dyDescent="0.2">
      <c r="A389" s="191"/>
      <c r="B389" s="146" t="s">
        <v>458</v>
      </c>
      <c r="C389" s="147" t="s">
        <v>139</v>
      </c>
      <c r="D389" s="148">
        <v>9.3000000000000007</v>
      </c>
      <c r="E389" s="177"/>
      <c r="F389" s="143"/>
      <c r="G389" s="144">
        <f t="shared" si="36"/>
        <v>0</v>
      </c>
      <c r="I389" s="22">
        <f>18.1*0.2*0.2*6</f>
        <v>4.3440000000000012</v>
      </c>
      <c r="J389" s="22">
        <f>18.1*0.45*0.1*6</f>
        <v>4.8870000000000013</v>
      </c>
      <c r="L389" s="22">
        <f>SUM(I389:K389)</f>
        <v>9.2310000000000016</v>
      </c>
    </row>
    <row r="390" spans="1:13" ht="12" customHeight="1" x14ac:dyDescent="0.2">
      <c r="A390" s="190" t="s">
        <v>187</v>
      </c>
      <c r="B390" s="150" t="s">
        <v>291</v>
      </c>
      <c r="C390" s="147"/>
      <c r="D390" s="148"/>
      <c r="E390" s="177"/>
      <c r="F390" s="143"/>
      <c r="G390" s="144">
        <f t="shared" ref="G390:G391" si="37">(D390*E390)+(D390*F390)</f>
        <v>0</v>
      </c>
    </row>
    <row r="391" spans="1:13" ht="49.5" customHeight="1" thickBot="1" x14ac:dyDescent="0.25">
      <c r="A391" s="524"/>
      <c r="B391" s="525" t="s">
        <v>391</v>
      </c>
      <c r="C391" s="196" t="s">
        <v>139</v>
      </c>
      <c r="D391" s="156">
        <v>2.4500000000000002</v>
      </c>
      <c r="E391" s="195"/>
      <c r="F391" s="158"/>
      <c r="G391" s="159">
        <f t="shared" si="37"/>
        <v>0</v>
      </c>
      <c r="I391" s="22">
        <f>14.4*2</f>
        <v>28.8</v>
      </c>
      <c r="J391" s="22">
        <f>I391*0.85*0.1</f>
        <v>2.4480000000000004</v>
      </c>
    </row>
    <row r="392" spans="1:13" ht="12" customHeight="1" x14ac:dyDescent="0.2">
      <c r="A392" s="191"/>
      <c r="B392" s="146"/>
      <c r="C392" s="147"/>
      <c r="D392" s="148"/>
      <c r="E392" s="177"/>
      <c r="F392" s="143"/>
      <c r="G392" s="144"/>
    </row>
    <row r="393" spans="1:13" ht="12" customHeight="1" x14ac:dyDescent="0.2">
      <c r="A393" s="190" t="s">
        <v>189</v>
      </c>
      <c r="B393" s="150" t="s">
        <v>374</v>
      </c>
      <c r="C393" s="147"/>
      <c r="D393" s="148"/>
      <c r="E393" s="177"/>
      <c r="F393" s="143"/>
      <c r="G393" s="144">
        <f>(D393*E393)+(D393*F393)</f>
        <v>0</v>
      </c>
    </row>
    <row r="394" spans="1:13" ht="61.5" customHeight="1" x14ac:dyDescent="0.2">
      <c r="A394" s="191"/>
      <c r="B394" s="192" t="s">
        <v>375</v>
      </c>
      <c r="C394" s="147" t="s">
        <v>139</v>
      </c>
      <c r="D394" s="532" t="s">
        <v>469</v>
      </c>
      <c r="E394" s="533"/>
      <c r="F394" s="534"/>
      <c r="G394" s="144"/>
    </row>
    <row r="395" spans="1:13" ht="17.25" customHeight="1" x14ac:dyDescent="0.2">
      <c r="A395" s="190" t="s">
        <v>188</v>
      </c>
      <c r="B395" s="150" t="s">
        <v>376</v>
      </c>
      <c r="C395" s="147"/>
      <c r="D395" s="148"/>
      <c r="E395" s="177"/>
      <c r="F395" s="143"/>
      <c r="G395" s="144">
        <f>(D395*E395)+(D395*F395)</f>
        <v>0</v>
      </c>
    </row>
    <row r="396" spans="1:13" ht="62.25" customHeight="1" x14ac:dyDescent="0.2">
      <c r="A396" s="191"/>
      <c r="B396" s="192" t="s">
        <v>377</v>
      </c>
      <c r="C396" s="147" t="s">
        <v>139</v>
      </c>
      <c r="D396" s="193">
        <v>0.4</v>
      </c>
      <c r="E396" s="142"/>
      <c r="F396" s="143"/>
      <c r="G396" s="144">
        <f t="shared" ref="G396" si="38">(D396*E396)+(D396*F396)</f>
        <v>0</v>
      </c>
      <c r="I396" s="22">
        <f>1.8*0.95*0.075*2</f>
        <v>0.25650000000000001</v>
      </c>
      <c r="J396" s="22">
        <f>0.2*0.2*1.8*2</f>
        <v>0.14400000000000004</v>
      </c>
      <c r="K396" s="22">
        <f>SUM(I396:J396)</f>
        <v>0.40050000000000008</v>
      </c>
    </row>
    <row r="397" spans="1:13" x14ac:dyDescent="0.2">
      <c r="A397" s="149" t="s">
        <v>153</v>
      </c>
      <c r="B397" s="150" t="s">
        <v>264</v>
      </c>
      <c r="C397" s="147"/>
      <c r="D397" s="148"/>
      <c r="E397" s="177"/>
      <c r="F397" s="143"/>
      <c r="G397" s="144">
        <f t="shared" si="36"/>
        <v>0</v>
      </c>
    </row>
    <row r="398" spans="1:13" ht="36" x14ac:dyDescent="0.2">
      <c r="A398" s="191" t="s">
        <v>54</v>
      </c>
      <c r="B398" s="146" t="s">
        <v>198</v>
      </c>
      <c r="C398" s="147" t="s">
        <v>140</v>
      </c>
      <c r="D398" s="148">
        <f>D447</f>
        <v>169.86</v>
      </c>
      <c r="E398" s="177"/>
      <c r="F398" s="143"/>
      <c r="G398" s="144">
        <f t="shared" si="36"/>
        <v>0</v>
      </c>
      <c r="J398" s="31"/>
    </row>
    <row r="399" spans="1:13" ht="40.5" customHeight="1" x14ac:dyDescent="0.2">
      <c r="A399" s="191" t="s">
        <v>55</v>
      </c>
      <c r="B399" s="146" t="s">
        <v>166</v>
      </c>
      <c r="C399" s="147" t="s">
        <v>15</v>
      </c>
      <c r="D399" s="148">
        <v>1</v>
      </c>
      <c r="E399" s="177"/>
      <c r="F399" s="143"/>
      <c r="G399" s="144">
        <f t="shared" ref="G399" si="39">(D399*E399)+(D399*F399)</f>
        <v>0</v>
      </c>
    </row>
    <row r="400" spans="1:13" ht="38.25" customHeight="1" thickBot="1" x14ac:dyDescent="0.25">
      <c r="A400" s="191" t="s">
        <v>59</v>
      </c>
      <c r="B400" s="146" t="s">
        <v>176</v>
      </c>
      <c r="C400" s="147" t="s">
        <v>15</v>
      </c>
      <c r="D400" s="148">
        <v>1</v>
      </c>
      <c r="E400" s="177"/>
      <c r="F400" s="143"/>
      <c r="G400" s="144">
        <f t="shared" si="36"/>
        <v>0</v>
      </c>
      <c r="I400" s="31"/>
      <c r="J400" s="48"/>
      <c r="K400" s="48"/>
      <c r="L400" s="31"/>
      <c r="M400" s="48"/>
    </row>
    <row r="401" spans="1:17" x14ac:dyDescent="0.2">
      <c r="A401" s="114"/>
      <c r="B401" s="115" t="s">
        <v>148</v>
      </c>
      <c r="C401" s="127"/>
      <c r="D401" s="117"/>
      <c r="E401" s="118"/>
      <c r="F401" s="166"/>
      <c r="G401" s="168"/>
    </row>
    <row r="402" spans="1:17" ht="12.75" thickBot="1" x14ac:dyDescent="0.25">
      <c r="A402" s="120"/>
      <c r="B402" s="103" t="s">
        <v>173</v>
      </c>
      <c r="C402" s="128"/>
      <c r="D402" s="122"/>
      <c r="E402" s="123"/>
      <c r="F402" s="105"/>
      <c r="G402" s="169">
        <f>SUM(G129:G400)</f>
        <v>0</v>
      </c>
    </row>
    <row r="403" spans="1:17" x14ac:dyDescent="0.2">
      <c r="A403" s="247"/>
      <c r="B403" s="115"/>
      <c r="C403" s="127"/>
      <c r="D403" s="117"/>
      <c r="E403" s="118"/>
      <c r="F403" s="166"/>
      <c r="G403" s="540"/>
    </row>
    <row r="404" spans="1:17" x14ac:dyDescent="0.2">
      <c r="A404" s="138"/>
      <c r="B404" s="76" t="s">
        <v>93</v>
      </c>
      <c r="C404" s="63"/>
      <c r="D404" s="55"/>
      <c r="E404" s="61"/>
      <c r="F404" s="46"/>
      <c r="G404" s="144"/>
    </row>
    <row r="405" spans="1:17" x14ac:dyDescent="0.2">
      <c r="A405" s="480"/>
      <c r="B405" s="550" t="s">
        <v>94</v>
      </c>
      <c r="C405" s="518"/>
      <c r="D405" s="519"/>
      <c r="E405" s="520"/>
      <c r="F405" s="513"/>
      <c r="G405" s="472"/>
    </row>
    <row r="406" spans="1:17" x14ac:dyDescent="0.2">
      <c r="A406" s="275">
        <v>4.0999999999999996</v>
      </c>
      <c r="B406" s="548" t="s">
        <v>40</v>
      </c>
      <c r="C406" s="63"/>
      <c r="D406" s="55"/>
      <c r="E406" s="549"/>
      <c r="F406" s="143"/>
      <c r="G406" s="144"/>
    </row>
    <row r="407" spans="1:17" ht="37.5" customHeight="1" x14ac:dyDescent="0.2">
      <c r="A407" s="138"/>
      <c r="B407" s="587" t="s">
        <v>206</v>
      </c>
      <c r="C407" s="587"/>
      <c r="D407" s="587"/>
      <c r="E407" s="587"/>
      <c r="F407" s="545"/>
      <c r="G407" s="482"/>
    </row>
    <row r="408" spans="1:17" ht="38.25" customHeight="1" x14ac:dyDescent="0.2">
      <c r="A408" s="138"/>
      <c r="B408" s="587" t="s">
        <v>205</v>
      </c>
      <c r="C408" s="587"/>
      <c r="D408" s="587"/>
      <c r="E408" s="587"/>
      <c r="F408" s="207"/>
      <c r="G408" s="206"/>
    </row>
    <row r="409" spans="1:17" ht="30" customHeight="1" x14ac:dyDescent="0.2">
      <c r="A409" s="480"/>
      <c r="B409" s="588" t="s">
        <v>270</v>
      </c>
      <c r="C409" s="588"/>
      <c r="D409" s="588"/>
      <c r="E409" s="588"/>
      <c r="F409" s="546"/>
      <c r="G409" s="547"/>
    </row>
    <row r="410" spans="1:17" x14ac:dyDescent="0.2">
      <c r="A410" s="149" t="s">
        <v>132</v>
      </c>
      <c r="B410" s="208" t="s">
        <v>135</v>
      </c>
      <c r="C410" s="147"/>
      <c r="D410" s="148"/>
      <c r="E410" s="177"/>
      <c r="F410" s="143"/>
      <c r="G410" s="144"/>
    </row>
    <row r="411" spans="1:17" x14ac:dyDescent="0.2">
      <c r="A411" s="131" t="s">
        <v>149</v>
      </c>
      <c r="B411" s="197" t="s">
        <v>134</v>
      </c>
      <c r="C411" s="133"/>
      <c r="D411" s="134"/>
      <c r="E411" s="135"/>
      <c r="F411" s="136"/>
      <c r="G411" s="137"/>
      <c r="I411" s="31"/>
    </row>
    <row r="412" spans="1:17" x14ac:dyDescent="0.2">
      <c r="A412" s="149"/>
      <c r="B412" s="198" t="s">
        <v>199</v>
      </c>
      <c r="C412" s="151"/>
      <c r="D412" s="152"/>
      <c r="E412" s="153"/>
      <c r="F412" s="154"/>
      <c r="G412" s="144"/>
    </row>
    <row r="413" spans="1:17" ht="24" x14ac:dyDescent="0.2">
      <c r="A413" s="145"/>
      <c r="B413" s="146" t="s">
        <v>434</v>
      </c>
      <c r="C413" s="147" t="s">
        <v>140</v>
      </c>
      <c r="D413" s="148">
        <v>84.93</v>
      </c>
      <c r="E413" s="177"/>
      <c r="F413" s="143"/>
      <c r="G413" s="144">
        <f t="shared" ref="G413" si="40">(D413*E413)+(D413*F413)</f>
        <v>0</v>
      </c>
      <c r="I413" s="48" t="e">
        <f>#REF!</f>
        <v>#REF!</v>
      </c>
      <c r="J413" s="48" t="e">
        <f>I413*0.75</f>
        <v>#REF!</v>
      </c>
    </row>
    <row r="414" spans="1:17" x14ac:dyDescent="0.2">
      <c r="A414" s="131" t="s">
        <v>150</v>
      </c>
      <c r="B414" s="197" t="s">
        <v>56</v>
      </c>
      <c r="C414" s="133"/>
      <c r="D414" s="134"/>
      <c r="E414" s="135"/>
      <c r="F414" s="136"/>
      <c r="G414" s="137"/>
    </row>
    <row r="415" spans="1:17" x14ac:dyDescent="0.2">
      <c r="A415" s="149" t="s">
        <v>164</v>
      </c>
      <c r="B415" s="198" t="s">
        <v>294</v>
      </c>
      <c r="C415" s="151"/>
      <c r="D415" s="152"/>
      <c r="E415" s="153"/>
      <c r="F415" s="154"/>
      <c r="G415" s="144">
        <f t="shared" ref="G415:G418" si="41">(D415*E415)+(D415*F415)</f>
        <v>0</v>
      </c>
    </row>
    <row r="416" spans="1:17" ht="13.5" x14ac:dyDescent="0.2">
      <c r="A416" s="191" t="s">
        <v>186</v>
      </c>
      <c r="B416" s="146" t="s">
        <v>433</v>
      </c>
      <c r="C416" s="147" t="s">
        <v>140</v>
      </c>
      <c r="D416" s="148">
        <v>191</v>
      </c>
      <c r="E416" s="177"/>
      <c r="F416" s="143"/>
      <c r="G416" s="144">
        <f t="shared" si="41"/>
        <v>0</v>
      </c>
      <c r="I416" s="22">
        <f>6.2*6+3.87*2+3.93*2+4.25*2+2.9*2+2.815*2</f>
        <v>72.73</v>
      </c>
      <c r="J416" s="22">
        <f>I416*3.435</f>
        <v>249.82755000000003</v>
      </c>
      <c r="K416" s="22">
        <v>63.63</v>
      </c>
      <c r="L416" s="22">
        <f>J416-K416</f>
        <v>186.19755000000004</v>
      </c>
      <c r="M416" s="22">
        <f>1.21*1.22+2.385*1.2</f>
        <v>4.3381999999999996</v>
      </c>
      <c r="N416" s="22">
        <f>L416-M416</f>
        <v>181.85935000000003</v>
      </c>
      <c r="O416" s="22">
        <f>N416*105%</f>
        <v>190.95231750000005</v>
      </c>
      <c r="Q416" s="22">
        <f>P416*105%</f>
        <v>0</v>
      </c>
    </row>
    <row r="417" spans="1:15" ht="24" x14ac:dyDescent="0.2">
      <c r="A417" s="191" t="s">
        <v>187</v>
      </c>
      <c r="B417" s="146" t="s">
        <v>296</v>
      </c>
      <c r="C417" s="147" t="s">
        <v>140</v>
      </c>
      <c r="D417" s="148">
        <v>5.45</v>
      </c>
      <c r="E417" s="177"/>
      <c r="F417" s="143"/>
      <c r="G417" s="144">
        <f t="shared" si="41"/>
        <v>0</v>
      </c>
      <c r="I417" s="22">
        <f>1.725*0.45*7</f>
        <v>5.4337500000000007</v>
      </c>
    </row>
    <row r="418" spans="1:15" x14ac:dyDescent="0.2">
      <c r="A418" s="149" t="s">
        <v>165</v>
      </c>
      <c r="B418" s="198" t="s">
        <v>293</v>
      </c>
      <c r="C418" s="151"/>
      <c r="D418" s="152"/>
      <c r="E418" s="153"/>
      <c r="F418" s="154"/>
      <c r="G418" s="144">
        <f t="shared" si="41"/>
        <v>0</v>
      </c>
    </row>
    <row r="419" spans="1:15" ht="13.5" x14ac:dyDescent="0.2">
      <c r="A419" s="191" t="s">
        <v>186</v>
      </c>
      <c r="B419" s="146" t="s">
        <v>433</v>
      </c>
      <c r="C419" s="147" t="s">
        <v>140</v>
      </c>
      <c r="D419" s="148">
        <v>45.3</v>
      </c>
      <c r="E419" s="177"/>
      <c r="F419" s="143"/>
      <c r="G419" s="144">
        <f t="shared" ref="G419:G420" si="42">(D419*E419)+(D419*F419)</f>
        <v>0</v>
      </c>
      <c r="I419" s="22">
        <f>3.67*2+3.63*2</f>
        <v>14.6</v>
      </c>
      <c r="J419" s="22">
        <f>I419*3.1</f>
        <v>45.26</v>
      </c>
    </row>
    <row r="420" spans="1:15" ht="13.5" x14ac:dyDescent="0.2">
      <c r="A420" s="145" t="s">
        <v>187</v>
      </c>
      <c r="B420" s="199" t="s">
        <v>295</v>
      </c>
      <c r="C420" s="147" t="s">
        <v>140</v>
      </c>
      <c r="D420" s="148">
        <v>38.15</v>
      </c>
      <c r="E420" s="177"/>
      <c r="F420" s="143"/>
      <c r="G420" s="144">
        <f t="shared" si="42"/>
        <v>0</v>
      </c>
      <c r="I420" s="22">
        <f>2.915+2.815+1.4*2+2.9+1.5</f>
        <v>12.930000000000001</v>
      </c>
      <c r="J420" s="22">
        <f>I420*3.3</f>
        <v>42.669000000000004</v>
      </c>
      <c r="K420" s="22">
        <f>0.78*2*3+0.85*2*2</f>
        <v>8.08</v>
      </c>
      <c r="M420" s="22">
        <f>J420-K420</f>
        <v>34.589000000000006</v>
      </c>
      <c r="N420" s="22">
        <f>M420*105%</f>
        <v>36.318450000000006</v>
      </c>
      <c r="O420" s="22">
        <f>N420*105%</f>
        <v>38.134372500000005</v>
      </c>
    </row>
    <row r="421" spans="1:15" x14ac:dyDescent="0.2">
      <c r="A421" s="145"/>
      <c r="B421" s="199"/>
      <c r="C421" s="147"/>
      <c r="D421" s="148"/>
      <c r="E421" s="177"/>
      <c r="F421" s="143"/>
      <c r="G421" s="144"/>
    </row>
    <row r="422" spans="1:15" x14ac:dyDescent="0.2">
      <c r="A422" s="145"/>
      <c r="B422" s="199"/>
      <c r="C422" s="147"/>
      <c r="D422" s="148"/>
      <c r="E422" s="177"/>
      <c r="F422" s="143"/>
      <c r="G422" s="144"/>
    </row>
    <row r="423" spans="1:15" x14ac:dyDescent="0.2">
      <c r="A423" s="145"/>
      <c r="B423" s="199"/>
      <c r="C423" s="147"/>
      <c r="D423" s="148"/>
      <c r="E423" s="177"/>
      <c r="F423" s="143"/>
      <c r="G423" s="144"/>
    </row>
    <row r="424" spans="1:15" x14ac:dyDescent="0.2">
      <c r="A424" s="145"/>
      <c r="B424" s="199"/>
      <c r="C424" s="147"/>
      <c r="D424" s="148"/>
      <c r="E424" s="177"/>
      <c r="F424" s="143"/>
      <c r="G424" s="144"/>
    </row>
    <row r="425" spans="1:15" x14ac:dyDescent="0.2">
      <c r="A425" s="145"/>
      <c r="B425" s="199"/>
      <c r="C425" s="147"/>
      <c r="D425" s="148"/>
      <c r="E425" s="177"/>
      <c r="F425" s="143"/>
      <c r="G425" s="144"/>
    </row>
    <row r="426" spans="1:15" x14ac:dyDescent="0.2">
      <c r="A426" s="145"/>
      <c r="B426" s="199"/>
      <c r="C426" s="147"/>
      <c r="D426" s="148"/>
      <c r="E426" s="177"/>
      <c r="F426" s="143"/>
      <c r="G426" s="144"/>
    </row>
    <row r="427" spans="1:15" x14ac:dyDescent="0.2">
      <c r="A427" s="145"/>
      <c r="B427" s="199"/>
      <c r="C427" s="147"/>
      <c r="D427" s="148"/>
      <c r="E427" s="177"/>
      <c r="F427" s="143"/>
      <c r="G427" s="144"/>
    </row>
    <row r="428" spans="1:15" x14ac:dyDescent="0.2">
      <c r="A428" s="131" t="s">
        <v>50</v>
      </c>
      <c r="B428" s="197" t="s">
        <v>58</v>
      </c>
      <c r="C428" s="133"/>
      <c r="D428" s="134"/>
      <c r="E428" s="135"/>
      <c r="F428" s="136"/>
      <c r="G428" s="137"/>
    </row>
    <row r="429" spans="1:15" x14ac:dyDescent="0.2">
      <c r="A429" s="149" t="s">
        <v>164</v>
      </c>
      <c r="B429" s="198" t="s">
        <v>294</v>
      </c>
      <c r="C429" s="151"/>
      <c r="D429" s="152"/>
      <c r="E429" s="153"/>
      <c r="F429" s="154"/>
      <c r="G429" s="144">
        <f t="shared" ref="G429:G431" si="43">(D429*E429)+(D429*F429)</f>
        <v>0</v>
      </c>
    </row>
    <row r="430" spans="1:15" ht="13.5" x14ac:dyDescent="0.2">
      <c r="A430" s="191" t="s">
        <v>186</v>
      </c>
      <c r="B430" s="146" t="s">
        <v>433</v>
      </c>
      <c r="C430" s="147" t="s">
        <v>140</v>
      </c>
      <c r="D430" s="148">
        <v>168.4</v>
      </c>
      <c r="E430" s="177"/>
      <c r="F430" s="143"/>
      <c r="G430" s="144">
        <f t="shared" si="43"/>
        <v>0</v>
      </c>
      <c r="I430" s="22">
        <f>6.2*6+3.87*2+3.93*2+4.25*2+2.9*2+2.815*2</f>
        <v>72.73</v>
      </c>
      <c r="J430" s="22">
        <f>I430*3.1</f>
        <v>225.46300000000002</v>
      </c>
      <c r="K430" s="22">
        <v>63.63</v>
      </c>
      <c r="L430" s="22">
        <f>J430-K430</f>
        <v>161.83300000000003</v>
      </c>
      <c r="M430" s="22">
        <f>1.21*1.22</f>
        <v>1.4762</v>
      </c>
      <c r="N430" s="22">
        <f>L430-M430</f>
        <v>160.35680000000002</v>
      </c>
      <c r="O430" s="22">
        <f>N430*105%</f>
        <v>168.37464000000003</v>
      </c>
    </row>
    <row r="431" spans="1:15" ht="24" x14ac:dyDescent="0.2">
      <c r="A431" s="191" t="s">
        <v>187</v>
      </c>
      <c r="B431" s="146" t="s">
        <v>296</v>
      </c>
      <c r="C431" s="147" t="s">
        <v>140</v>
      </c>
      <c r="D431" s="148">
        <v>5.45</v>
      </c>
      <c r="E431" s="177"/>
      <c r="F431" s="143"/>
      <c r="G431" s="144">
        <f t="shared" si="43"/>
        <v>0</v>
      </c>
      <c r="I431" s="22">
        <f>0.45*1.725*7</f>
        <v>5.4337500000000007</v>
      </c>
    </row>
    <row r="432" spans="1:15" x14ac:dyDescent="0.2">
      <c r="A432" s="149" t="s">
        <v>165</v>
      </c>
      <c r="B432" s="198" t="s">
        <v>293</v>
      </c>
      <c r="C432" s="151"/>
      <c r="D432" s="152"/>
      <c r="E432" s="153"/>
      <c r="F432" s="154"/>
      <c r="G432" s="144">
        <f t="shared" ref="G432:G434" si="44">(D432*E432)+(D432*F432)</f>
        <v>0</v>
      </c>
    </row>
    <row r="433" spans="1:15" ht="13.5" x14ac:dyDescent="0.2">
      <c r="A433" s="191" t="s">
        <v>186</v>
      </c>
      <c r="B433" s="146" t="s">
        <v>433</v>
      </c>
      <c r="C433" s="147" t="s">
        <v>140</v>
      </c>
      <c r="D433" s="148">
        <v>45.3</v>
      </c>
      <c r="E433" s="177"/>
      <c r="F433" s="143"/>
      <c r="G433" s="144">
        <f t="shared" si="44"/>
        <v>0</v>
      </c>
      <c r="I433" s="22">
        <f>3.67*2+3.63*2</f>
        <v>14.6</v>
      </c>
      <c r="J433" s="22">
        <f>I433*3.1</f>
        <v>45.26</v>
      </c>
    </row>
    <row r="434" spans="1:15" ht="13.5" x14ac:dyDescent="0.2">
      <c r="A434" s="145" t="s">
        <v>187</v>
      </c>
      <c r="B434" s="199" t="s">
        <v>295</v>
      </c>
      <c r="C434" s="147" t="s">
        <v>140</v>
      </c>
      <c r="D434" s="148">
        <v>22.2</v>
      </c>
      <c r="E434" s="177"/>
      <c r="F434" s="143"/>
      <c r="G434" s="144">
        <f t="shared" si="44"/>
        <v>0</v>
      </c>
      <c r="I434" s="22">
        <f>2.915+2.815+1.4*2</f>
        <v>8.5300000000000011</v>
      </c>
      <c r="J434" s="22">
        <f>I434*3.3</f>
        <v>28.149000000000001</v>
      </c>
      <c r="K434" s="22">
        <f>0.78*2*3+0.85*2*2</f>
        <v>8.08</v>
      </c>
      <c r="M434" s="22">
        <f>J434-K434</f>
        <v>20.069000000000003</v>
      </c>
      <c r="N434" s="22">
        <f>M434*105%</f>
        <v>21.072450000000003</v>
      </c>
      <c r="O434" s="22">
        <f>N434*105%</f>
        <v>22.126072500000003</v>
      </c>
    </row>
    <row r="435" spans="1:15" x14ac:dyDescent="0.2">
      <c r="A435" s="145"/>
      <c r="B435" s="199"/>
      <c r="C435" s="147"/>
      <c r="D435" s="148"/>
      <c r="E435" s="177"/>
      <c r="F435" s="143"/>
      <c r="G435" s="144"/>
      <c r="K435" s="31"/>
      <c r="L435" s="31"/>
    </row>
    <row r="436" spans="1:15" x14ac:dyDescent="0.2">
      <c r="A436" s="131" t="s">
        <v>152</v>
      </c>
      <c r="B436" s="197" t="s">
        <v>297</v>
      </c>
      <c r="C436" s="133"/>
      <c r="D436" s="134"/>
      <c r="E436" s="135"/>
      <c r="F436" s="136"/>
      <c r="G436" s="137"/>
      <c r="K436" s="31"/>
    </row>
    <row r="437" spans="1:15" x14ac:dyDescent="0.2">
      <c r="A437" s="149" t="s">
        <v>164</v>
      </c>
      <c r="B437" s="198" t="s">
        <v>298</v>
      </c>
      <c r="C437" s="151"/>
      <c r="D437" s="152"/>
      <c r="E437" s="153"/>
      <c r="F437" s="154"/>
      <c r="G437" s="144">
        <f t="shared" ref="G437:G438" si="45">(D437*E437)+(D437*F437)</f>
        <v>0</v>
      </c>
      <c r="K437" s="31"/>
    </row>
    <row r="438" spans="1:15" ht="13.5" x14ac:dyDescent="0.2">
      <c r="A438" s="145"/>
      <c r="B438" s="146" t="s">
        <v>292</v>
      </c>
      <c r="C438" s="147" t="s">
        <v>140</v>
      </c>
      <c r="D438" s="148">
        <v>24.6</v>
      </c>
      <c r="E438" s="177"/>
      <c r="F438" s="143"/>
      <c r="G438" s="144">
        <f t="shared" si="45"/>
        <v>0</v>
      </c>
      <c r="I438" s="22">
        <f>(5.487+1.95)*2</f>
        <v>14.874000000000001</v>
      </c>
      <c r="J438" s="22">
        <f>I438*3.5</f>
        <v>52.059000000000005</v>
      </c>
      <c r="K438" s="31">
        <v>2.88</v>
      </c>
      <c r="L438" s="31">
        <f>J438-K438</f>
        <v>49.179000000000002</v>
      </c>
    </row>
    <row r="439" spans="1:15" x14ac:dyDescent="0.2">
      <c r="A439" s="145"/>
      <c r="B439" s="199"/>
      <c r="C439" s="147"/>
      <c r="D439" s="148"/>
      <c r="E439" s="177"/>
      <c r="F439" s="143"/>
      <c r="G439" s="144"/>
      <c r="K439" s="31"/>
    </row>
    <row r="440" spans="1:15" x14ac:dyDescent="0.2">
      <c r="A440" s="190"/>
      <c r="B440" s="194"/>
      <c r="C440" s="147"/>
      <c r="D440" s="148"/>
      <c r="E440" s="177"/>
      <c r="F440" s="143"/>
      <c r="G440" s="144"/>
    </row>
    <row r="441" spans="1:15" x14ac:dyDescent="0.2">
      <c r="A441" s="200">
        <v>4.3</v>
      </c>
      <c r="B441" s="551" t="s">
        <v>95</v>
      </c>
      <c r="C441" s="552"/>
      <c r="D441" s="553"/>
      <c r="E441" s="554"/>
      <c r="F441" s="555"/>
      <c r="G441" s="204"/>
      <c r="K441" s="31"/>
    </row>
    <row r="442" spans="1:15" ht="58.5" customHeight="1" x14ac:dyDescent="0.2">
      <c r="A442" s="138"/>
      <c r="B442" s="580" t="s">
        <v>201</v>
      </c>
      <c r="C442" s="581"/>
      <c r="D442" s="581"/>
      <c r="E442" s="581"/>
      <c r="F442" s="582"/>
      <c r="G442" s="206"/>
    </row>
    <row r="443" spans="1:15" ht="30" customHeight="1" x14ac:dyDescent="0.2">
      <c r="A443" s="138"/>
      <c r="B443" s="580" t="s">
        <v>156</v>
      </c>
      <c r="C443" s="581"/>
      <c r="D443" s="581"/>
      <c r="E443" s="581"/>
      <c r="F443" s="582"/>
      <c r="G443" s="206"/>
    </row>
    <row r="444" spans="1:15" ht="30.75" customHeight="1" x14ac:dyDescent="0.2">
      <c r="A444" s="138"/>
      <c r="B444" s="580" t="s">
        <v>269</v>
      </c>
      <c r="C444" s="581"/>
      <c r="D444" s="581"/>
      <c r="E444" s="581"/>
      <c r="F444" s="582"/>
      <c r="G444" s="206"/>
    </row>
    <row r="445" spans="1:15" x14ac:dyDescent="0.2">
      <c r="A445" s="160" t="s">
        <v>149</v>
      </c>
      <c r="B445" s="535" t="s">
        <v>134</v>
      </c>
      <c r="C445" s="161"/>
      <c r="D445" s="162"/>
      <c r="E445" s="163"/>
      <c r="F445" s="164"/>
      <c r="G445" s="165"/>
    </row>
    <row r="446" spans="1:15" x14ac:dyDescent="0.2">
      <c r="A446" s="145" t="s">
        <v>164</v>
      </c>
      <c r="B446" s="208" t="s">
        <v>256</v>
      </c>
      <c r="C446" s="151"/>
      <c r="D446" s="152"/>
      <c r="E446" s="153"/>
      <c r="F446" s="154"/>
      <c r="G446" s="144"/>
    </row>
    <row r="447" spans="1:15" ht="13.5" x14ac:dyDescent="0.2">
      <c r="A447" s="145"/>
      <c r="B447" s="199" t="s">
        <v>255</v>
      </c>
      <c r="C447" s="147" t="s">
        <v>140</v>
      </c>
      <c r="D447" s="148">
        <f>D413*2</f>
        <v>169.86</v>
      </c>
      <c r="E447" s="177"/>
      <c r="F447" s="143"/>
      <c r="G447" s="144">
        <f t="shared" ref="G447" si="46">(D447*E447)+(D447*F447)</f>
        <v>0</v>
      </c>
    </row>
    <row r="448" spans="1:15" x14ac:dyDescent="0.2">
      <c r="A448" s="131" t="s">
        <v>150</v>
      </c>
      <c r="B448" s="197" t="s">
        <v>56</v>
      </c>
      <c r="C448" s="133"/>
      <c r="D448" s="134"/>
      <c r="E448" s="135"/>
      <c r="F448" s="136"/>
      <c r="G448" s="137"/>
    </row>
    <row r="449" spans="1:19" s="49" customFormat="1" ht="15" customHeight="1" x14ac:dyDescent="0.2">
      <c r="A449" s="149" t="s">
        <v>164</v>
      </c>
      <c r="B449" s="198" t="s">
        <v>252</v>
      </c>
      <c r="C449" s="151"/>
      <c r="D449" s="152"/>
      <c r="E449" s="153"/>
      <c r="F449" s="209"/>
      <c r="G449" s="144">
        <f t="shared" ref="G449:G450" si="47">(D449*E449)+(D449*F449)</f>
        <v>0</v>
      </c>
      <c r="I449" s="22">
        <f>19.4*2+8.7*2+4.55*2+3.215*2+3.5*2</f>
        <v>78.72999999999999</v>
      </c>
      <c r="J449" s="22">
        <f>I449*3.875</f>
        <v>305.07874999999996</v>
      </c>
      <c r="K449" s="22">
        <v>63.63</v>
      </c>
      <c r="L449" s="22">
        <f>J449-K449</f>
        <v>241.44874999999996</v>
      </c>
      <c r="M449" s="22">
        <f>1.21*1.22+1.2*2.385</f>
        <v>4.3381999999999996</v>
      </c>
      <c r="N449" s="22">
        <f>L449-M449</f>
        <v>237.11054999999996</v>
      </c>
      <c r="O449" s="22">
        <f>15.15+4+3.015</f>
        <v>22.164999999999999</v>
      </c>
      <c r="P449" s="22">
        <f>O449*0.6</f>
        <v>13.298999999999999</v>
      </c>
      <c r="Q449" s="22">
        <f>1.03*2.915*6</f>
        <v>18.014700000000001</v>
      </c>
      <c r="R449" s="22"/>
      <c r="S449" s="22"/>
    </row>
    <row r="450" spans="1:19" ht="13.5" x14ac:dyDescent="0.2">
      <c r="A450" s="145"/>
      <c r="B450" s="199" t="s">
        <v>439</v>
      </c>
      <c r="C450" s="147" t="s">
        <v>140</v>
      </c>
      <c r="D450" s="148">
        <v>297.3</v>
      </c>
      <c r="E450" s="177"/>
      <c r="F450" s="143"/>
      <c r="G450" s="144">
        <f t="shared" si="47"/>
        <v>0</v>
      </c>
      <c r="J450" s="22">
        <f>N449+P449+Q449</f>
        <v>268.42424999999997</v>
      </c>
      <c r="K450" s="22">
        <f>2*1.05*7</f>
        <v>14.700000000000001</v>
      </c>
      <c r="L450" s="22">
        <f>SUM(J450:K450)</f>
        <v>283.12424999999996</v>
      </c>
      <c r="M450" s="22">
        <f>L450*105%</f>
        <v>297.2804625</v>
      </c>
    </row>
    <row r="451" spans="1:19" x14ac:dyDescent="0.2">
      <c r="A451" s="190" t="s">
        <v>165</v>
      </c>
      <c r="B451" s="194" t="s">
        <v>253</v>
      </c>
      <c r="C451" s="151"/>
      <c r="D451" s="152"/>
      <c r="E451" s="153"/>
      <c r="F451" s="154"/>
      <c r="G451" s="144">
        <f t="shared" ref="G451:G452" si="48">(D451*E451)+(D451*F451)</f>
        <v>0</v>
      </c>
    </row>
    <row r="452" spans="1:19" ht="25.5" customHeight="1" x14ac:dyDescent="0.2">
      <c r="A452" s="145"/>
      <c r="B452" s="146" t="s">
        <v>254</v>
      </c>
      <c r="C452" s="147" t="s">
        <v>140</v>
      </c>
      <c r="D452" s="148">
        <v>419.35</v>
      </c>
      <c r="E452" s="177"/>
      <c r="F452" s="143"/>
      <c r="G452" s="144">
        <f t="shared" si="48"/>
        <v>0</v>
      </c>
      <c r="I452" s="22">
        <f>8.3*6+6.2*6+3.2*2+2.815*4+3.215+2.915+4.25*2+2.9*2+1.5*2</f>
        <v>128.09000000000003</v>
      </c>
      <c r="J452" s="22">
        <f>I452*3.35</f>
        <v>429.1015000000001</v>
      </c>
      <c r="K452" s="22">
        <f>J452-K449</f>
        <v>365.47150000000011</v>
      </c>
      <c r="L452" s="22">
        <v>4.25</v>
      </c>
      <c r="M452" s="22">
        <f>L452*3.35*2</f>
        <v>28.475000000000001</v>
      </c>
      <c r="N452" s="22">
        <f>1.8*0.75*4</f>
        <v>5.4</v>
      </c>
      <c r="O452" s="22">
        <f>K452+M452+N452</f>
        <v>399.34650000000011</v>
      </c>
      <c r="P452" s="22">
        <f>O452*105%</f>
        <v>419.31382500000012</v>
      </c>
    </row>
    <row r="453" spans="1:19" ht="12.75" customHeight="1" x14ac:dyDescent="0.2">
      <c r="A453" s="190"/>
      <c r="B453" s="194"/>
      <c r="C453" s="151"/>
      <c r="D453" s="152"/>
      <c r="E453" s="153"/>
      <c r="F453" s="154"/>
      <c r="G453" s="144"/>
    </row>
    <row r="454" spans="1:19" x14ac:dyDescent="0.2">
      <c r="A454" s="131" t="s">
        <v>50</v>
      </c>
      <c r="B454" s="197" t="s">
        <v>58</v>
      </c>
      <c r="C454" s="133"/>
      <c r="D454" s="134"/>
      <c r="E454" s="135"/>
      <c r="F454" s="136"/>
      <c r="G454" s="137"/>
    </row>
    <row r="455" spans="1:19" x14ac:dyDescent="0.2">
      <c r="A455" s="149" t="s">
        <v>164</v>
      </c>
      <c r="B455" s="198" t="s">
        <v>252</v>
      </c>
      <c r="C455" s="151"/>
      <c r="D455" s="152"/>
      <c r="E455" s="153"/>
      <c r="F455" s="209"/>
      <c r="G455" s="144">
        <f t="shared" ref="G455:G458" si="49">(D455*E455)+(D455*F455)</f>
        <v>0</v>
      </c>
      <c r="I455" s="22">
        <f>19.4*2+8.7*2+3.215*2+4.55*2+3.5*2</f>
        <v>78.72999999999999</v>
      </c>
      <c r="J455" s="22">
        <f>I455*3.5</f>
        <v>275.55499999999995</v>
      </c>
      <c r="K455" s="22">
        <v>63.63</v>
      </c>
      <c r="L455" s="22">
        <f>J455-K455</f>
        <v>211.92499999999995</v>
      </c>
      <c r="M455" s="22">
        <f>L455*103%</f>
        <v>218.28274999999996</v>
      </c>
      <c r="N455" s="22">
        <f>15.15+4+3.015</f>
        <v>22.164999999999999</v>
      </c>
      <c r="O455" s="22">
        <f>N455*0.6</f>
        <v>13.298999999999999</v>
      </c>
      <c r="P455" s="22">
        <f>1.03*2.915*6</f>
        <v>18.014700000000001</v>
      </c>
    </row>
    <row r="456" spans="1:19" ht="13.5" x14ac:dyDescent="0.2">
      <c r="A456" s="145"/>
      <c r="B456" s="199" t="s">
        <v>439</v>
      </c>
      <c r="C456" s="147" t="s">
        <v>140</v>
      </c>
      <c r="D456" s="148">
        <v>282.62</v>
      </c>
      <c r="E456" s="177"/>
      <c r="F456" s="143"/>
      <c r="G456" s="144">
        <f t="shared" si="49"/>
        <v>0</v>
      </c>
      <c r="I456" s="22">
        <f>0.45*1.725*7</f>
        <v>5.4337500000000007</v>
      </c>
      <c r="M456" s="22">
        <f>L455+O455+P455</f>
        <v>243.23869999999997</v>
      </c>
      <c r="N456" s="22">
        <f>(1.8*3+3*3)*1.8</f>
        <v>25.92</v>
      </c>
      <c r="O456" s="22">
        <f>M456+N456</f>
        <v>269.15869999999995</v>
      </c>
      <c r="P456" s="22">
        <f>O456*105%</f>
        <v>282.61663499999997</v>
      </c>
      <c r="Q456" s="48"/>
    </row>
    <row r="457" spans="1:19" x14ac:dyDescent="0.2">
      <c r="A457" s="190" t="s">
        <v>165</v>
      </c>
      <c r="B457" s="194" t="s">
        <v>253</v>
      </c>
      <c r="C457" s="151"/>
      <c r="D457" s="152"/>
      <c r="E457" s="153"/>
      <c r="F457" s="154"/>
      <c r="G457" s="144">
        <f t="shared" si="49"/>
        <v>0</v>
      </c>
      <c r="I457" s="22">
        <f>4.08*4+3.82*4</f>
        <v>31.6</v>
      </c>
      <c r="J457" s="22">
        <f>I457*2.965</f>
        <v>93.694000000000003</v>
      </c>
    </row>
    <row r="458" spans="1:19" ht="24" x14ac:dyDescent="0.2">
      <c r="A458" s="145"/>
      <c r="B458" s="146" t="s">
        <v>480</v>
      </c>
      <c r="C458" s="147" t="s">
        <v>140</v>
      </c>
      <c r="D458" s="148">
        <v>409.7</v>
      </c>
      <c r="E458" s="177"/>
      <c r="F458" s="143"/>
      <c r="G458" s="144">
        <f t="shared" si="49"/>
        <v>0</v>
      </c>
      <c r="I458" s="22">
        <f>8.3*6+6.2*6+1.4*4+3.3*2+2.915*4+3.415+2.915+4.25*2</f>
        <v>125.69</v>
      </c>
      <c r="J458" s="22">
        <f>I458*3.35</f>
        <v>421.06150000000002</v>
      </c>
      <c r="K458" s="22">
        <f>J458-K455</f>
        <v>357.43150000000003</v>
      </c>
      <c r="L458" s="22">
        <v>4.25</v>
      </c>
      <c r="M458" s="22">
        <f>L458*3.215*2</f>
        <v>27.327500000000001</v>
      </c>
      <c r="N458" s="22">
        <f>1.8*0.75*4</f>
        <v>5.4</v>
      </c>
      <c r="O458" s="22">
        <f>K458+M458+N458</f>
        <v>390.15899999999999</v>
      </c>
      <c r="P458" s="22">
        <f>O458*105%</f>
        <v>409.66694999999999</v>
      </c>
    </row>
    <row r="459" spans="1:19" x14ac:dyDescent="0.2">
      <c r="A459" s="145"/>
      <c r="B459" s="146"/>
      <c r="C459" s="147"/>
      <c r="D459" s="148"/>
      <c r="E459" s="177"/>
      <c r="F459" s="143"/>
      <c r="G459" s="144"/>
    </row>
    <row r="460" spans="1:19" x14ac:dyDescent="0.2">
      <c r="A460" s="131" t="s">
        <v>151</v>
      </c>
      <c r="B460" s="197" t="s">
        <v>415</v>
      </c>
      <c r="C460" s="133"/>
      <c r="D460" s="134"/>
      <c r="E460" s="135"/>
      <c r="F460" s="136"/>
      <c r="G460" s="137"/>
    </row>
    <row r="461" spans="1:19" x14ac:dyDescent="0.2">
      <c r="A461" s="149" t="s">
        <v>164</v>
      </c>
      <c r="B461" s="198" t="s">
        <v>252</v>
      </c>
      <c r="C461" s="151"/>
      <c r="D461" s="152"/>
      <c r="E461" s="153"/>
      <c r="F461" s="209"/>
      <c r="G461" s="144">
        <f t="shared" ref="G461:G464" si="50">(D461*E461)+(D461*F461)</f>
        <v>0</v>
      </c>
      <c r="I461" s="22">
        <f>19.4*2+8.7*2+3.215*2+4.55*2+3.5*2</f>
        <v>78.72999999999999</v>
      </c>
      <c r="J461" s="22">
        <f>I461*3.5</f>
        <v>275.55499999999995</v>
      </c>
      <c r="K461" s="22">
        <v>63.63</v>
      </c>
      <c r="L461" s="22">
        <f>J461-K461</f>
        <v>211.92499999999995</v>
      </c>
      <c r="M461" s="22">
        <f>L461*103%</f>
        <v>218.28274999999996</v>
      </c>
      <c r="N461" s="22">
        <f>15.15+4+3.015</f>
        <v>22.164999999999999</v>
      </c>
      <c r="O461" s="22">
        <f>N461*0.6</f>
        <v>13.298999999999999</v>
      </c>
      <c r="P461" s="22">
        <f>1.03*2.915*6</f>
        <v>18.014700000000001</v>
      </c>
    </row>
    <row r="462" spans="1:19" ht="13.5" x14ac:dyDescent="0.2">
      <c r="A462" s="145"/>
      <c r="B462" s="199" t="s">
        <v>439</v>
      </c>
      <c r="C462" s="147" t="s">
        <v>140</v>
      </c>
      <c r="D462" s="148">
        <v>282.62</v>
      </c>
      <c r="E462" s="177"/>
      <c r="F462" s="143"/>
      <c r="G462" s="144">
        <f t="shared" si="50"/>
        <v>0</v>
      </c>
      <c r="I462" s="22">
        <f>0.45*1.725*7</f>
        <v>5.4337500000000007</v>
      </c>
      <c r="M462" s="22">
        <f>L461+O461+P461</f>
        <v>243.23869999999997</v>
      </c>
      <c r="N462" s="22">
        <f>(1.8*3+3*3)*1.8</f>
        <v>25.92</v>
      </c>
      <c r="O462" s="22">
        <f>M462+N462</f>
        <v>269.15869999999995</v>
      </c>
      <c r="P462" s="22">
        <f>O462*105%</f>
        <v>282.61663499999997</v>
      </c>
      <c r="Q462" s="48"/>
    </row>
    <row r="463" spans="1:19" x14ac:dyDescent="0.2">
      <c r="A463" s="190" t="s">
        <v>165</v>
      </c>
      <c r="B463" s="194" t="s">
        <v>253</v>
      </c>
      <c r="C463" s="151"/>
      <c r="D463" s="152"/>
      <c r="E463" s="153"/>
      <c r="F463" s="154"/>
      <c r="G463" s="144">
        <f t="shared" si="50"/>
        <v>0</v>
      </c>
      <c r="I463" s="22">
        <f>4.08*4+3.82*4</f>
        <v>31.6</v>
      </c>
      <c r="J463" s="22">
        <f>I463*2.965</f>
        <v>93.694000000000003</v>
      </c>
    </row>
    <row r="464" spans="1:19" ht="24" x14ac:dyDescent="0.2">
      <c r="A464" s="145"/>
      <c r="B464" s="146" t="s">
        <v>480</v>
      </c>
      <c r="C464" s="147" t="s">
        <v>140</v>
      </c>
      <c r="D464" s="148">
        <v>429.5</v>
      </c>
      <c r="E464" s="177"/>
      <c r="F464" s="143"/>
      <c r="G464" s="144">
        <f t="shared" si="50"/>
        <v>0</v>
      </c>
      <c r="I464" s="22">
        <f>8.3*6+6.2*6+1.4*4+3.3*2+2.915*4+3.415+2.915+4.25*2</f>
        <v>125.69</v>
      </c>
      <c r="J464" s="22">
        <f>I464*3.5</f>
        <v>439.91499999999996</v>
      </c>
      <c r="K464" s="22">
        <f>J464-K461</f>
        <v>376.28499999999997</v>
      </c>
      <c r="L464" s="22">
        <v>4.25</v>
      </c>
      <c r="M464" s="22">
        <f>L464*3.215*2</f>
        <v>27.327500000000001</v>
      </c>
      <c r="N464" s="22">
        <f>1.8*0.75*4</f>
        <v>5.4</v>
      </c>
      <c r="O464" s="22">
        <f>K464+M464+N464</f>
        <v>409.01249999999993</v>
      </c>
      <c r="P464" s="22">
        <f>O464*105%</f>
        <v>429.46312499999993</v>
      </c>
    </row>
    <row r="465" spans="1:15" x14ac:dyDescent="0.2">
      <c r="A465" s="145"/>
      <c r="B465" s="146"/>
      <c r="C465" s="147"/>
      <c r="D465" s="148"/>
      <c r="E465" s="177"/>
      <c r="F465" s="143"/>
      <c r="G465" s="144"/>
      <c r="N465" s="48"/>
      <c r="O465" s="48"/>
    </row>
    <row r="466" spans="1:15" x14ac:dyDescent="0.2">
      <c r="A466" s="131" t="s">
        <v>152</v>
      </c>
      <c r="B466" s="197" t="s">
        <v>271</v>
      </c>
      <c r="C466" s="133"/>
      <c r="D466" s="134"/>
      <c r="E466" s="135"/>
      <c r="F466" s="136"/>
      <c r="G466" s="137"/>
      <c r="K466" s="31"/>
    </row>
    <row r="467" spans="1:15" x14ac:dyDescent="0.2">
      <c r="A467" s="149" t="s">
        <v>164</v>
      </c>
      <c r="B467" s="198" t="s">
        <v>252</v>
      </c>
      <c r="C467" s="151"/>
      <c r="D467" s="152"/>
      <c r="E467" s="153"/>
      <c r="F467" s="209"/>
      <c r="G467" s="144">
        <f t="shared" ref="G467:G470" si="51">(D467*E467)+(D467*F467)</f>
        <v>0</v>
      </c>
      <c r="K467" s="31"/>
    </row>
    <row r="468" spans="1:15" ht="13.5" x14ac:dyDescent="0.2">
      <c r="A468" s="145"/>
      <c r="B468" s="199" t="s">
        <v>136</v>
      </c>
      <c r="C468" s="147" t="s">
        <v>140</v>
      </c>
      <c r="D468" s="148">
        <f>D438</f>
        <v>24.6</v>
      </c>
      <c r="E468" s="177"/>
      <c r="F468" s="143"/>
      <c r="G468" s="144">
        <f t="shared" si="51"/>
        <v>0</v>
      </c>
      <c r="K468" s="31"/>
      <c r="L468" s="31"/>
      <c r="O468" s="31"/>
    </row>
    <row r="469" spans="1:15" x14ac:dyDescent="0.2">
      <c r="A469" s="190" t="s">
        <v>165</v>
      </c>
      <c r="B469" s="194" t="s">
        <v>253</v>
      </c>
      <c r="C469" s="151"/>
      <c r="D469" s="152"/>
      <c r="E469" s="153"/>
      <c r="F469" s="154"/>
      <c r="G469" s="144">
        <f t="shared" si="51"/>
        <v>0</v>
      </c>
      <c r="K469" s="31"/>
    </row>
    <row r="470" spans="1:15" ht="13.5" x14ac:dyDescent="0.2">
      <c r="A470" s="145"/>
      <c r="B470" s="146" t="s">
        <v>299</v>
      </c>
      <c r="C470" s="147" t="s">
        <v>140</v>
      </c>
      <c r="D470" s="148">
        <f>D438</f>
        <v>24.6</v>
      </c>
      <c r="E470" s="177"/>
      <c r="F470" s="143"/>
      <c r="G470" s="144">
        <f t="shared" si="51"/>
        <v>0</v>
      </c>
      <c r="L470" s="31"/>
      <c r="M470" s="31"/>
      <c r="N470" s="31"/>
    </row>
    <row r="471" spans="1:15" x14ac:dyDescent="0.2">
      <c r="A471" s="145"/>
      <c r="B471" s="146"/>
      <c r="C471" s="147"/>
      <c r="D471" s="148"/>
      <c r="E471" s="177"/>
      <c r="F471" s="143"/>
      <c r="G471" s="144"/>
      <c r="L471" s="31"/>
      <c r="M471" s="31"/>
      <c r="N471" s="31"/>
    </row>
    <row r="472" spans="1:15" x14ac:dyDescent="0.2">
      <c r="A472" s="145"/>
      <c r="B472" s="146"/>
      <c r="C472" s="147"/>
      <c r="D472" s="148"/>
      <c r="E472" s="177"/>
      <c r="F472" s="143"/>
      <c r="G472" s="144"/>
      <c r="L472" s="31"/>
      <c r="M472" s="31"/>
      <c r="N472" s="31"/>
    </row>
    <row r="473" spans="1:15" x14ac:dyDescent="0.2">
      <c r="A473" s="145"/>
      <c r="B473" s="146"/>
      <c r="C473" s="147"/>
      <c r="D473" s="148"/>
      <c r="E473" s="177"/>
      <c r="F473" s="143"/>
      <c r="G473" s="144"/>
      <c r="L473" s="31"/>
      <c r="M473" s="31"/>
      <c r="N473" s="31"/>
    </row>
    <row r="474" spans="1:15" x14ac:dyDescent="0.2">
      <c r="A474" s="145"/>
      <c r="B474" s="146"/>
      <c r="C474" s="147"/>
      <c r="D474" s="148"/>
      <c r="E474" s="177"/>
      <c r="F474" s="143"/>
      <c r="G474" s="144"/>
      <c r="L474" s="31"/>
      <c r="M474" s="31"/>
      <c r="N474" s="31"/>
    </row>
    <row r="475" spans="1:15" x14ac:dyDescent="0.2">
      <c r="A475" s="145"/>
      <c r="B475" s="146"/>
      <c r="C475" s="147"/>
      <c r="D475" s="148"/>
      <c r="E475" s="177"/>
      <c r="F475" s="143"/>
      <c r="G475" s="144"/>
      <c r="L475" s="31"/>
      <c r="M475" s="31"/>
      <c r="N475" s="31"/>
    </row>
    <row r="476" spans="1:15" x14ac:dyDescent="0.2">
      <c r="A476" s="145"/>
      <c r="B476" s="146"/>
      <c r="C476" s="147"/>
      <c r="D476" s="148"/>
      <c r="E476" s="177"/>
      <c r="F476" s="143"/>
      <c r="G476" s="144"/>
      <c r="L476" s="31"/>
      <c r="M476" s="31"/>
      <c r="N476" s="31"/>
    </row>
    <row r="477" spans="1:15" x14ac:dyDescent="0.2">
      <c r="A477" s="145"/>
      <c r="B477" s="146"/>
      <c r="C477" s="147"/>
      <c r="D477" s="148"/>
      <c r="E477" s="177"/>
      <c r="F477" s="143"/>
      <c r="G477" s="144"/>
      <c r="L477" s="31"/>
      <c r="M477" s="31"/>
      <c r="N477" s="31"/>
    </row>
    <row r="478" spans="1:15" x14ac:dyDescent="0.2">
      <c r="A478" s="145"/>
      <c r="B478" s="146"/>
      <c r="C478" s="147"/>
      <c r="D478" s="148"/>
      <c r="E478" s="177"/>
      <c r="F478" s="143"/>
      <c r="G478" s="144"/>
      <c r="L478" s="31"/>
      <c r="M478" s="31"/>
      <c r="N478" s="31"/>
    </row>
    <row r="479" spans="1:15" x14ac:dyDescent="0.2">
      <c r="A479" s="145"/>
      <c r="B479" s="146"/>
      <c r="C479" s="147"/>
      <c r="D479" s="148"/>
      <c r="E479" s="177"/>
      <c r="F479" s="143"/>
      <c r="G479" s="144"/>
      <c r="L479" s="31"/>
      <c r="M479" s="31"/>
      <c r="N479" s="31"/>
    </row>
    <row r="480" spans="1:15" x14ac:dyDescent="0.2">
      <c r="A480" s="145"/>
      <c r="B480" s="146"/>
      <c r="C480" s="147"/>
      <c r="D480" s="148"/>
      <c r="E480" s="177"/>
      <c r="F480" s="143"/>
      <c r="G480" s="144"/>
      <c r="L480" s="31"/>
      <c r="M480" s="31"/>
      <c r="N480" s="31"/>
    </row>
    <row r="481" spans="1:14" x14ac:dyDescent="0.2">
      <c r="A481" s="145"/>
      <c r="B481" s="146"/>
      <c r="C481" s="147"/>
      <c r="D481" s="148"/>
      <c r="E481" s="177"/>
      <c r="F481" s="143"/>
      <c r="G481" s="144"/>
      <c r="L481" s="31"/>
      <c r="M481" s="31"/>
      <c r="N481" s="31"/>
    </row>
    <row r="482" spans="1:14" x14ac:dyDescent="0.2">
      <c r="A482" s="145"/>
      <c r="B482" s="146"/>
      <c r="C482" s="147"/>
      <c r="D482" s="148"/>
      <c r="E482" s="177"/>
      <c r="F482" s="143"/>
      <c r="G482" s="144"/>
      <c r="L482" s="31"/>
      <c r="M482" s="31"/>
      <c r="N482" s="31"/>
    </row>
    <row r="483" spans="1:14" ht="12.75" thickBot="1" x14ac:dyDescent="0.25">
      <c r="A483" s="145"/>
      <c r="B483" s="146"/>
      <c r="C483" s="147"/>
      <c r="D483" s="148"/>
      <c r="E483" s="177"/>
      <c r="F483" s="143"/>
      <c r="G483" s="144"/>
      <c r="L483" s="31"/>
      <c r="M483" s="31"/>
      <c r="N483" s="31"/>
    </row>
    <row r="484" spans="1:14" x14ac:dyDescent="0.2">
      <c r="A484" s="114"/>
      <c r="B484" s="115" t="s">
        <v>147</v>
      </c>
      <c r="C484" s="127"/>
      <c r="D484" s="117"/>
      <c r="E484" s="118"/>
      <c r="F484" s="210"/>
      <c r="G484" s="167"/>
    </row>
    <row r="485" spans="1:14" ht="12.75" thickBot="1" x14ac:dyDescent="0.25">
      <c r="A485" s="120"/>
      <c r="B485" s="103" t="s">
        <v>202</v>
      </c>
      <c r="C485" s="128"/>
      <c r="D485" s="122"/>
      <c r="E485" s="123"/>
      <c r="F485" s="211"/>
      <c r="G485" s="107">
        <f>SUM(G412:G459)</f>
        <v>0</v>
      </c>
    </row>
    <row r="486" spans="1:14" x14ac:dyDescent="0.2">
      <c r="A486" s="58"/>
      <c r="B486" s="507"/>
      <c r="C486" s="127"/>
      <c r="D486" s="117"/>
      <c r="E486" s="118"/>
      <c r="F486" s="166"/>
      <c r="G486" s="72"/>
    </row>
    <row r="487" spans="1:14" x14ac:dyDescent="0.2">
      <c r="A487" s="80"/>
      <c r="B487" s="508" t="s">
        <v>96</v>
      </c>
      <c r="C487" s="81"/>
      <c r="D487" s="60"/>
      <c r="E487" s="82"/>
      <c r="F487" s="46"/>
      <c r="G487" s="64"/>
    </row>
    <row r="488" spans="1:14" x14ac:dyDescent="0.2">
      <c r="A488" s="80"/>
      <c r="B488" s="509" t="s">
        <v>97</v>
      </c>
      <c r="C488" s="510"/>
      <c r="D488" s="511"/>
      <c r="E488" s="512"/>
      <c r="F488" s="513"/>
      <c r="G488" s="64"/>
    </row>
    <row r="489" spans="1:14" x14ac:dyDescent="0.2">
      <c r="A489" s="499" t="s">
        <v>98</v>
      </c>
      <c r="B489" s="501" t="s">
        <v>40</v>
      </c>
      <c r="C489" s="502"/>
      <c r="D489" s="503"/>
      <c r="E489" s="504"/>
      <c r="F489" s="506"/>
      <c r="G489" s="505"/>
    </row>
    <row r="490" spans="1:14" ht="27.75" customHeight="1" x14ac:dyDescent="0.2">
      <c r="A490" s="500"/>
      <c r="B490" s="589" t="s">
        <v>137</v>
      </c>
      <c r="C490" s="590"/>
      <c r="D490" s="590"/>
      <c r="E490" s="590"/>
      <c r="F490" s="591"/>
      <c r="G490" s="230"/>
    </row>
    <row r="491" spans="1:14" x14ac:dyDescent="0.2">
      <c r="A491" s="212" t="s">
        <v>142</v>
      </c>
      <c r="B491" s="213" t="s">
        <v>207</v>
      </c>
      <c r="C491" s="214"/>
      <c r="D491" s="215"/>
      <c r="E491" s="216"/>
      <c r="F491" s="217"/>
      <c r="G491" s="218"/>
    </row>
    <row r="492" spans="1:14" ht="12.75" x14ac:dyDescent="0.2">
      <c r="A492" s="219"/>
      <c r="B492" s="220" t="s">
        <v>220</v>
      </c>
      <c r="C492" s="221"/>
      <c r="D492" s="222"/>
      <c r="E492" s="223"/>
      <c r="F492" s="188"/>
      <c r="G492" s="189"/>
    </row>
    <row r="493" spans="1:14" ht="12.75" x14ac:dyDescent="0.2">
      <c r="A493" s="224" t="s">
        <v>149</v>
      </c>
      <c r="B493" s="225" t="s">
        <v>56</v>
      </c>
      <c r="C493" s="226"/>
      <c r="D493" s="227"/>
      <c r="E493" s="174"/>
      <c r="F493" s="175"/>
      <c r="G493" s="176">
        <f t="shared" ref="G493:G496" si="52">(D493*E493)+(D493*F493)</f>
        <v>0</v>
      </c>
    </row>
    <row r="494" spans="1:14" ht="15.75" x14ac:dyDescent="0.2">
      <c r="A494" s="219"/>
      <c r="B494" s="228" t="s">
        <v>300</v>
      </c>
      <c r="C494" s="221" t="s">
        <v>221</v>
      </c>
      <c r="D494" s="222">
        <v>154.4</v>
      </c>
      <c r="E494" s="187"/>
      <c r="F494" s="188"/>
      <c r="G494" s="189">
        <f t="shared" si="52"/>
        <v>0</v>
      </c>
      <c r="I494" s="22">
        <f>51.46*3</f>
        <v>154.38</v>
      </c>
    </row>
    <row r="495" spans="1:14" ht="15.75" x14ac:dyDescent="0.2">
      <c r="A495" s="219"/>
      <c r="B495" s="228" t="s">
        <v>481</v>
      </c>
      <c r="C495" s="221" t="s">
        <v>221</v>
      </c>
      <c r="D495" s="222">
        <v>47.4</v>
      </c>
      <c r="E495" s="187"/>
      <c r="F495" s="188"/>
      <c r="G495" s="189">
        <f t="shared" si="52"/>
        <v>0</v>
      </c>
      <c r="I495" s="22">
        <f>9.55*2</f>
        <v>19.100000000000001</v>
      </c>
      <c r="J495" s="22">
        <f>9.85*1.8</f>
        <v>17.73</v>
      </c>
      <c r="K495" s="22">
        <f>3.215*2</f>
        <v>6.43</v>
      </c>
      <c r="L495" s="22">
        <f>3.45*1.2</f>
        <v>4.1399999999999997</v>
      </c>
      <c r="M495" s="22">
        <f>SUM(I495:L495)</f>
        <v>47.4</v>
      </c>
    </row>
    <row r="496" spans="1:14" ht="15.75" x14ac:dyDescent="0.2">
      <c r="A496" s="219"/>
      <c r="B496" s="228" t="s">
        <v>302</v>
      </c>
      <c r="C496" s="221" t="s">
        <v>221</v>
      </c>
      <c r="D496" s="222">
        <v>18</v>
      </c>
      <c r="E496" s="187"/>
      <c r="F496" s="188"/>
      <c r="G496" s="189">
        <f t="shared" si="52"/>
        <v>0</v>
      </c>
      <c r="I496" s="31">
        <f>4.4*2.915</f>
        <v>12.826000000000001</v>
      </c>
      <c r="J496" s="22">
        <f>1.425*0.169*20</f>
        <v>4.8165000000000004</v>
      </c>
      <c r="K496" s="31"/>
      <c r="L496" s="31">
        <f>SUM(I496:K496)</f>
        <v>17.642500000000002</v>
      </c>
    </row>
    <row r="497" spans="1:12" ht="15.75" x14ac:dyDescent="0.2">
      <c r="A497" s="219"/>
      <c r="B497" s="228" t="s">
        <v>303</v>
      </c>
      <c r="C497" s="221" t="s">
        <v>221</v>
      </c>
      <c r="D497" s="222">
        <v>10.6</v>
      </c>
      <c r="E497" s="187"/>
      <c r="F497" s="188"/>
      <c r="G497" s="189">
        <f t="shared" ref="G497" si="53">(D497*E497)+(D497*F497)</f>
        <v>0</v>
      </c>
      <c r="I497" s="31">
        <f>6.4+2+6.6+2.6</f>
        <v>17.600000000000001</v>
      </c>
      <c r="J497" s="48">
        <f>0.6*I497</f>
        <v>10.56</v>
      </c>
      <c r="K497" s="31"/>
    </row>
    <row r="498" spans="1:12" ht="12.75" x14ac:dyDescent="0.2">
      <c r="A498" s="219"/>
      <c r="B498" s="228"/>
      <c r="C498" s="221"/>
      <c r="D498" s="222"/>
      <c r="E498" s="187"/>
      <c r="F498" s="188"/>
      <c r="G498" s="189"/>
      <c r="I498" s="31"/>
    </row>
    <row r="499" spans="1:12" ht="12.75" x14ac:dyDescent="0.2">
      <c r="A499" s="224" t="s">
        <v>150</v>
      </c>
      <c r="B499" s="225" t="s">
        <v>58</v>
      </c>
      <c r="C499" s="226"/>
      <c r="D499" s="227"/>
      <c r="E499" s="174"/>
      <c r="F499" s="175"/>
      <c r="G499" s="176">
        <f t="shared" ref="G499:G501" si="54">(D499*E499)+(D499*F499)</f>
        <v>0</v>
      </c>
    </row>
    <row r="500" spans="1:12" ht="15.75" x14ac:dyDescent="0.2">
      <c r="A500" s="219"/>
      <c r="B500" s="228" t="s">
        <v>300</v>
      </c>
      <c r="C500" s="221" t="s">
        <v>221</v>
      </c>
      <c r="D500" s="222">
        <f>D494</f>
        <v>154.4</v>
      </c>
      <c r="E500" s="187"/>
      <c r="F500" s="188"/>
      <c r="G500" s="189">
        <f t="shared" si="54"/>
        <v>0</v>
      </c>
      <c r="I500" s="22">
        <f>51.46*2</f>
        <v>102.92</v>
      </c>
      <c r="L500" s="22">
        <f>SUM(I500:K500)</f>
        <v>102.92</v>
      </c>
    </row>
    <row r="501" spans="1:12" ht="15.75" x14ac:dyDescent="0.2">
      <c r="A501" s="219"/>
      <c r="B501" s="228" t="s">
        <v>301</v>
      </c>
      <c r="C501" s="221" t="s">
        <v>221</v>
      </c>
      <c r="D501" s="222">
        <v>35.549999999999997</v>
      </c>
      <c r="E501" s="187"/>
      <c r="F501" s="188"/>
      <c r="G501" s="189">
        <f t="shared" si="54"/>
        <v>0</v>
      </c>
      <c r="I501" s="22">
        <f>9.45*1.9+9.75*1.8</f>
        <v>35.504999999999995</v>
      </c>
    </row>
    <row r="502" spans="1:12" ht="15.75" x14ac:dyDescent="0.2">
      <c r="A502" s="219"/>
      <c r="B502" s="228" t="s">
        <v>443</v>
      </c>
      <c r="C502" s="221" t="s">
        <v>221</v>
      </c>
      <c r="D502" s="222">
        <v>9.15</v>
      </c>
      <c r="E502" s="187"/>
      <c r="F502" s="188"/>
      <c r="G502" s="189">
        <f>(D502*E502)+(D502*F502)</f>
        <v>0</v>
      </c>
      <c r="I502" s="31">
        <f>3.15*2.915</f>
        <v>9.1822499999999998</v>
      </c>
      <c r="K502" s="31"/>
    </row>
    <row r="503" spans="1:12" ht="15.75" x14ac:dyDescent="0.2">
      <c r="A503" s="219"/>
      <c r="B503" s="228" t="s">
        <v>302</v>
      </c>
      <c r="C503" s="221" t="s">
        <v>221</v>
      </c>
      <c r="D503" s="222">
        <v>18</v>
      </c>
      <c r="E503" s="187"/>
      <c r="F503" s="188"/>
      <c r="G503" s="189">
        <f t="shared" ref="G503" si="55">(D503*E503)+(D503*F503)</f>
        <v>0</v>
      </c>
      <c r="I503" s="31"/>
      <c r="K503" s="31"/>
    </row>
    <row r="504" spans="1:12" ht="15.75" x14ac:dyDescent="0.2">
      <c r="A504" s="219"/>
      <c r="B504" s="228" t="s">
        <v>444</v>
      </c>
      <c r="C504" s="221" t="s">
        <v>221</v>
      </c>
      <c r="D504" s="222">
        <v>6.25</v>
      </c>
      <c r="E504" s="187"/>
      <c r="F504" s="188"/>
      <c r="G504" s="189">
        <f t="shared" ref="G504" si="56">(D504*E504)+(D504*F504)</f>
        <v>0</v>
      </c>
      <c r="I504" s="31">
        <f>3.115*2</f>
        <v>6.23</v>
      </c>
      <c r="K504" s="31"/>
    </row>
    <row r="505" spans="1:12" ht="12.75" x14ac:dyDescent="0.2">
      <c r="A505" s="219"/>
      <c r="B505" s="228"/>
      <c r="C505" s="221"/>
      <c r="D505" s="222"/>
      <c r="E505" s="187"/>
      <c r="F505" s="188"/>
      <c r="G505" s="189"/>
      <c r="I505" s="31"/>
      <c r="K505" s="31"/>
    </row>
    <row r="506" spans="1:12" ht="12.75" x14ac:dyDescent="0.2">
      <c r="A506" s="224" t="s">
        <v>50</v>
      </c>
      <c r="B506" s="225" t="s">
        <v>415</v>
      </c>
      <c r="C506" s="226"/>
      <c r="D506" s="227"/>
      <c r="E506" s="174"/>
      <c r="F506" s="175"/>
      <c r="G506" s="176">
        <f t="shared" ref="G506:G508" si="57">(D506*E506)+(D506*F506)</f>
        <v>0</v>
      </c>
      <c r="I506" s="31"/>
      <c r="K506" s="31"/>
    </row>
    <row r="507" spans="1:12" ht="15.75" x14ac:dyDescent="0.2">
      <c r="A507" s="219"/>
      <c r="B507" s="228" t="s">
        <v>300</v>
      </c>
      <c r="C507" s="221" t="s">
        <v>221</v>
      </c>
      <c r="D507" s="222">
        <v>154.4</v>
      </c>
      <c r="E507" s="187"/>
      <c r="F507" s="188"/>
      <c r="G507" s="189">
        <f t="shared" si="57"/>
        <v>0</v>
      </c>
      <c r="I507" s="22">
        <f>51.46*2</f>
        <v>102.92</v>
      </c>
    </row>
    <row r="508" spans="1:12" ht="15.75" x14ac:dyDescent="0.2">
      <c r="A508" s="219"/>
      <c r="B508" s="228" t="s">
        <v>301</v>
      </c>
      <c r="C508" s="221" t="s">
        <v>221</v>
      </c>
      <c r="D508" s="222">
        <v>35.549999999999997</v>
      </c>
      <c r="E508" s="187"/>
      <c r="F508" s="188"/>
      <c r="G508" s="189">
        <f t="shared" si="57"/>
        <v>0</v>
      </c>
      <c r="I508" s="22">
        <f>9.45*1.9+9.75*1.8</f>
        <v>35.504999999999995</v>
      </c>
    </row>
    <row r="509" spans="1:12" ht="15.75" x14ac:dyDescent="0.2">
      <c r="A509" s="219"/>
      <c r="B509" s="228" t="s">
        <v>443</v>
      </c>
      <c r="C509" s="221" t="s">
        <v>221</v>
      </c>
      <c r="D509" s="222">
        <v>9.15</v>
      </c>
      <c r="E509" s="187"/>
      <c r="F509" s="188"/>
      <c r="G509" s="189">
        <f>(D509*E509)+(D509*F509)</f>
        <v>0</v>
      </c>
      <c r="I509" s="31">
        <f>3.15*2.915</f>
        <v>9.1822499999999998</v>
      </c>
      <c r="K509" s="31"/>
    </row>
    <row r="510" spans="1:12" ht="15.75" x14ac:dyDescent="0.2">
      <c r="A510" s="219"/>
      <c r="B510" s="228" t="s">
        <v>444</v>
      </c>
      <c r="C510" s="221" t="s">
        <v>221</v>
      </c>
      <c r="D510" s="222">
        <v>6.25</v>
      </c>
      <c r="E510" s="187"/>
      <c r="F510" s="188"/>
      <c r="G510" s="189">
        <f t="shared" ref="G510" si="58">(D510*E510)+(D510*F510)</f>
        <v>0</v>
      </c>
      <c r="I510" s="31">
        <f>3.115*2</f>
        <v>6.23</v>
      </c>
      <c r="K510" s="31"/>
    </row>
    <row r="511" spans="1:12" ht="12.75" x14ac:dyDescent="0.2">
      <c r="A511" s="219"/>
      <c r="B511" s="228"/>
      <c r="C511" s="221"/>
      <c r="D511" s="222"/>
      <c r="E511" s="187"/>
      <c r="F511" s="188"/>
      <c r="G511" s="189"/>
    </row>
    <row r="512" spans="1:12" ht="12.75" x14ac:dyDescent="0.2">
      <c r="A512" s="516" t="s">
        <v>152</v>
      </c>
      <c r="B512" s="225" t="s">
        <v>271</v>
      </c>
      <c r="C512" s="226"/>
      <c r="D512" s="227"/>
      <c r="E512" s="237"/>
      <c r="F512" s="175"/>
      <c r="G512" s="176"/>
    </row>
    <row r="513" spans="1:18" ht="15.75" x14ac:dyDescent="0.2">
      <c r="A513" s="219"/>
      <c r="B513" s="228" t="s">
        <v>447</v>
      </c>
      <c r="C513" s="221" t="s">
        <v>221</v>
      </c>
      <c r="D513" s="222">
        <f>D237</f>
        <v>33.5</v>
      </c>
      <c r="E513" s="187"/>
      <c r="F513" s="188"/>
      <c r="G513" s="189">
        <f t="shared" ref="G513" si="59">(D513*E513)+(D513*F513)</f>
        <v>0</v>
      </c>
    </row>
    <row r="514" spans="1:18" ht="12.75" x14ac:dyDescent="0.2">
      <c r="A514" s="219"/>
      <c r="B514" s="228"/>
      <c r="C514" s="221"/>
      <c r="D514" s="222"/>
      <c r="E514" s="187"/>
      <c r="F514" s="188"/>
      <c r="G514" s="189"/>
    </row>
    <row r="515" spans="1:18" ht="12.75" x14ac:dyDescent="0.2">
      <c r="A515" s="556"/>
      <c r="B515" s="557"/>
      <c r="C515" s="558"/>
      <c r="D515" s="559"/>
      <c r="E515" s="560"/>
      <c r="F515" s="561"/>
      <c r="G515" s="562"/>
    </row>
    <row r="516" spans="1:18" x14ac:dyDescent="0.2">
      <c r="A516" s="83" t="s">
        <v>143</v>
      </c>
      <c r="B516" s="84" t="s">
        <v>144</v>
      </c>
      <c r="C516" s="88"/>
      <c r="D516" s="89"/>
      <c r="E516" s="85"/>
      <c r="F516" s="86"/>
      <c r="G516" s="87"/>
    </row>
    <row r="517" spans="1:18" ht="33" customHeight="1" x14ac:dyDescent="0.2">
      <c r="A517" s="499"/>
      <c r="B517" s="605" t="s">
        <v>237</v>
      </c>
      <c r="C517" s="605"/>
      <c r="D517" s="605"/>
      <c r="E517" s="605"/>
      <c r="F517" s="605"/>
      <c r="G517" s="229"/>
    </row>
    <row r="518" spans="1:18" ht="13.5" customHeight="1" x14ac:dyDescent="0.2">
      <c r="A518" s="514"/>
      <c r="B518" s="587" t="s">
        <v>239</v>
      </c>
      <c r="C518" s="587"/>
      <c r="D518" s="587"/>
      <c r="E518" s="587"/>
      <c r="F518" s="587"/>
      <c r="G518" s="74"/>
    </row>
    <row r="519" spans="1:18" ht="27" customHeight="1" x14ac:dyDescent="0.2">
      <c r="A519" s="514"/>
      <c r="B519" s="587" t="s">
        <v>238</v>
      </c>
      <c r="C519" s="587"/>
      <c r="D519" s="587"/>
      <c r="E519" s="587"/>
      <c r="F519" s="587"/>
      <c r="G519" s="74"/>
    </row>
    <row r="520" spans="1:18" ht="26.25" customHeight="1" x14ac:dyDescent="0.2">
      <c r="A520" s="515"/>
      <c r="B520" s="588" t="s">
        <v>305</v>
      </c>
      <c r="C520" s="588"/>
      <c r="D520" s="588"/>
      <c r="E520" s="588"/>
      <c r="F520" s="588"/>
      <c r="G520" s="230"/>
    </row>
    <row r="521" spans="1:18" ht="12.75" x14ac:dyDescent="0.2">
      <c r="A521" s="231" t="s">
        <v>149</v>
      </c>
      <c r="B521" s="232" t="s">
        <v>56</v>
      </c>
      <c r="C521" s="233"/>
      <c r="D521" s="234"/>
      <c r="E521" s="235"/>
      <c r="F521" s="170"/>
      <c r="G521" s="171"/>
    </row>
    <row r="522" spans="1:18" ht="12.75" x14ac:dyDescent="0.2">
      <c r="A522" s="219" t="s">
        <v>240</v>
      </c>
      <c r="B522" s="236" t="s">
        <v>234</v>
      </c>
      <c r="C522" s="221"/>
      <c r="D522" s="222"/>
      <c r="E522" s="187"/>
      <c r="F522" s="188"/>
      <c r="G522" s="189"/>
      <c r="I522" s="47"/>
      <c r="J522" s="29"/>
      <c r="K522" s="27"/>
    </row>
    <row r="523" spans="1:18" ht="12.75" x14ac:dyDescent="0.2">
      <c r="A523" s="219" t="s">
        <v>164</v>
      </c>
      <c r="B523" s="236" t="s">
        <v>257</v>
      </c>
      <c r="C523" s="221"/>
      <c r="D523" s="222"/>
      <c r="E523" s="187"/>
      <c r="F523" s="188"/>
      <c r="G523" s="189"/>
      <c r="I523" s="54"/>
      <c r="J523" s="29"/>
      <c r="K523" s="27"/>
    </row>
    <row r="524" spans="1:18" ht="15.75" x14ac:dyDescent="0.2">
      <c r="A524" s="219"/>
      <c r="B524" s="228" t="s">
        <v>300</v>
      </c>
      <c r="C524" s="221" t="s">
        <v>221</v>
      </c>
      <c r="D524" s="222">
        <f>D494</f>
        <v>154.4</v>
      </c>
      <c r="E524" s="187"/>
      <c r="F524" s="188"/>
      <c r="G524" s="189">
        <f t="shared" ref="G524" si="60">(D524*E524)+(D524*F524)</f>
        <v>0</v>
      </c>
      <c r="I524" s="47"/>
      <c r="J524" s="29"/>
      <c r="K524" s="27"/>
    </row>
    <row r="525" spans="1:18" ht="12.75" x14ac:dyDescent="0.2">
      <c r="A525" s="219" t="s">
        <v>165</v>
      </c>
      <c r="B525" s="236" t="s">
        <v>279</v>
      </c>
      <c r="C525" s="221"/>
      <c r="D525" s="222"/>
      <c r="E525" s="187"/>
      <c r="F525" s="188"/>
      <c r="G525" s="189"/>
      <c r="I525" s="54"/>
      <c r="J525" s="29"/>
      <c r="K525" s="27"/>
    </row>
    <row r="526" spans="1:18" ht="15.75" x14ac:dyDescent="0.2">
      <c r="A526" s="219"/>
      <c r="B526" s="228" t="s">
        <v>481</v>
      </c>
      <c r="C526" s="221" t="s">
        <v>221</v>
      </c>
      <c r="D526" s="222">
        <f>D495</f>
        <v>47.4</v>
      </c>
      <c r="E526" s="187"/>
      <c r="F526" s="188"/>
      <c r="G526" s="189">
        <f t="shared" ref="G526" si="61">(D526*E526)+(D526*F526)</f>
        <v>0</v>
      </c>
      <c r="I526" s="47">
        <f>3.45*1.2</f>
        <v>4.1399999999999997</v>
      </c>
      <c r="J526" s="29"/>
      <c r="K526" s="27"/>
      <c r="M526" s="48"/>
      <c r="O526" s="48"/>
      <c r="Q526" s="48"/>
      <c r="R526" s="48"/>
    </row>
    <row r="527" spans="1:18" ht="12.75" x14ac:dyDescent="0.2">
      <c r="A527" s="219" t="s">
        <v>177</v>
      </c>
      <c r="B527" s="236" t="s">
        <v>258</v>
      </c>
      <c r="C527" s="221"/>
      <c r="D527" s="222"/>
      <c r="E527" s="187"/>
      <c r="F527" s="188"/>
      <c r="G527" s="189"/>
    </row>
    <row r="528" spans="1:18" ht="15.75" x14ac:dyDescent="0.2">
      <c r="A528" s="219"/>
      <c r="B528" s="228" t="s">
        <v>266</v>
      </c>
      <c r="C528" s="221" t="s">
        <v>221</v>
      </c>
      <c r="D528" s="222">
        <f>D496</f>
        <v>18</v>
      </c>
      <c r="E528" s="187"/>
      <c r="F528" s="188"/>
      <c r="G528" s="189">
        <f t="shared" ref="G528" si="62">(D528*E528)+(D528*F528)</f>
        <v>0</v>
      </c>
    </row>
    <row r="529" spans="1:13" ht="15.75" x14ac:dyDescent="0.2">
      <c r="A529" s="219"/>
      <c r="B529" s="228" t="s">
        <v>303</v>
      </c>
      <c r="C529" s="221" t="s">
        <v>221</v>
      </c>
      <c r="D529" s="222">
        <f>D497</f>
        <v>10.6</v>
      </c>
      <c r="E529" s="187"/>
      <c r="F529" s="188"/>
      <c r="G529" s="189">
        <f t="shared" ref="G529" si="63">(D529*E529)+(D529*F529)</f>
        <v>0</v>
      </c>
    </row>
    <row r="530" spans="1:13" ht="12.75" x14ac:dyDescent="0.2">
      <c r="A530" s="219" t="s">
        <v>242</v>
      </c>
      <c r="B530" s="236" t="s">
        <v>236</v>
      </c>
      <c r="C530" s="221"/>
      <c r="D530" s="222"/>
      <c r="E530" s="187"/>
      <c r="F530" s="188"/>
      <c r="G530" s="189"/>
      <c r="I530" s="51"/>
      <c r="J530" s="29"/>
      <c r="K530" s="27"/>
      <c r="L530" s="27"/>
    </row>
    <row r="531" spans="1:13" ht="12.75" x14ac:dyDescent="0.2">
      <c r="A531" s="219" t="s">
        <v>164</v>
      </c>
      <c r="B531" s="228" t="s">
        <v>261</v>
      </c>
      <c r="C531" s="221" t="s">
        <v>117</v>
      </c>
      <c r="D531" s="222">
        <v>132</v>
      </c>
      <c r="E531" s="187"/>
      <c r="F531" s="188"/>
      <c r="G531" s="189">
        <f t="shared" ref="G531" si="64">(D531*E531)+(D531*F531)</f>
        <v>0</v>
      </c>
      <c r="I531" s="22">
        <f>8.3*6+6.2*6+19.4+4.25*4+2.915+3.5+1.5*2</f>
        <v>132.815</v>
      </c>
      <c r="J531" s="22">
        <f>0.55*6</f>
        <v>3.3000000000000003</v>
      </c>
      <c r="K531" s="22">
        <f>I531-J531</f>
        <v>129.51499999999999</v>
      </c>
      <c r="M531" s="22">
        <f>I531-L531</f>
        <v>132.815</v>
      </c>
    </row>
    <row r="532" spans="1:13" ht="12.75" x14ac:dyDescent="0.2">
      <c r="A532" s="219"/>
      <c r="B532" s="228"/>
      <c r="C532" s="221"/>
      <c r="D532" s="222"/>
      <c r="E532" s="187"/>
      <c r="F532" s="188"/>
      <c r="G532" s="189"/>
    </row>
    <row r="533" spans="1:13" ht="12.75" x14ac:dyDescent="0.2">
      <c r="A533" s="219"/>
      <c r="B533" s="228"/>
      <c r="C533" s="221"/>
      <c r="D533" s="222"/>
      <c r="E533" s="187"/>
      <c r="F533" s="188"/>
      <c r="G533" s="189"/>
    </row>
    <row r="534" spans="1:13" ht="12.75" x14ac:dyDescent="0.2">
      <c r="A534" s="219"/>
      <c r="B534" s="228"/>
      <c r="C534" s="221"/>
      <c r="D534" s="222"/>
      <c r="E534" s="187"/>
      <c r="F534" s="188"/>
      <c r="G534" s="189"/>
    </row>
    <row r="535" spans="1:13" ht="12.75" x14ac:dyDescent="0.2">
      <c r="A535" s="219"/>
      <c r="B535" s="228"/>
      <c r="C535" s="221"/>
      <c r="D535" s="222"/>
      <c r="E535" s="187"/>
      <c r="F535" s="188"/>
      <c r="G535" s="189"/>
    </row>
    <row r="536" spans="1:13" ht="12.75" x14ac:dyDescent="0.2">
      <c r="A536" s="224" t="s">
        <v>150</v>
      </c>
      <c r="B536" s="225" t="s">
        <v>58</v>
      </c>
      <c r="C536" s="226"/>
      <c r="D536" s="227"/>
      <c r="E536" s="237"/>
      <c r="F536" s="175"/>
      <c r="G536" s="176"/>
    </row>
    <row r="537" spans="1:13" ht="12.75" x14ac:dyDescent="0.2">
      <c r="A537" s="219" t="s">
        <v>240</v>
      </c>
      <c r="B537" s="236" t="s">
        <v>234</v>
      </c>
      <c r="C537" s="221"/>
      <c r="D537" s="222"/>
      <c r="E537" s="187"/>
      <c r="F537" s="188"/>
      <c r="G537" s="189"/>
    </row>
    <row r="538" spans="1:13" ht="12.75" x14ac:dyDescent="0.2">
      <c r="A538" s="219" t="s">
        <v>164</v>
      </c>
      <c r="B538" s="236" t="s">
        <v>257</v>
      </c>
      <c r="C538" s="221"/>
      <c r="D538" s="222"/>
      <c r="E538" s="187"/>
      <c r="F538" s="188"/>
      <c r="G538" s="189"/>
      <c r="I538" s="22">
        <f>12.5+2.95+3.05+3.05+2.95</f>
        <v>24.5</v>
      </c>
    </row>
    <row r="539" spans="1:13" ht="15.75" x14ac:dyDescent="0.2">
      <c r="A539" s="219"/>
      <c r="B539" s="228" t="s">
        <v>300</v>
      </c>
      <c r="C539" s="221" t="s">
        <v>221</v>
      </c>
      <c r="D539" s="222">
        <v>154.4</v>
      </c>
      <c r="E539" s="187"/>
      <c r="F539" s="188"/>
      <c r="G539" s="189">
        <f t="shared" ref="G539" si="65">(D539*E539)+(D539*F539)</f>
        <v>0</v>
      </c>
      <c r="I539" s="22">
        <v>28.7</v>
      </c>
    </row>
    <row r="540" spans="1:13" ht="12.75" x14ac:dyDescent="0.2">
      <c r="A540" s="219" t="s">
        <v>165</v>
      </c>
      <c r="B540" s="236" t="s">
        <v>260</v>
      </c>
      <c r="C540" s="221"/>
      <c r="D540" s="222"/>
      <c r="E540" s="187"/>
      <c r="F540" s="188"/>
      <c r="G540" s="189"/>
    </row>
    <row r="541" spans="1:13" ht="15.75" x14ac:dyDescent="0.2">
      <c r="A541" s="219"/>
      <c r="B541" s="228" t="s">
        <v>445</v>
      </c>
      <c r="C541" s="221" t="s">
        <v>221</v>
      </c>
      <c r="D541" s="222">
        <v>41.8</v>
      </c>
      <c r="E541" s="187"/>
      <c r="F541" s="188"/>
      <c r="G541" s="189">
        <f t="shared" ref="G541" si="66">(D541*E541)+(D541*F541)</f>
        <v>0</v>
      </c>
      <c r="I541" s="22">
        <f>19.1*1.85</f>
        <v>35.335000000000001</v>
      </c>
      <c r="J541" s="22">
        <f>4.28*3.2</f>
        <v>13.696000000000002</v>
      </c>
      <c r="K541" s="22">
        <f>SUM(I541:J541)</f>
        <v>49.031000000000006</v>
      </c>
    </row>
    <row r="542" spans="1:13" ht="12.75" x14ac:dyDescent="0.2">
      <c r="A542" s="219" t="s">
        <v>177</v>
      </c>
      <c r="B542" s="236" t="s">
        <v>259</v>
      </c>
      <c r="C542" s="221"/>
      <c r="D542" s="222"/>
      <c r="E542" s="187"/>
      <c r="F542" s="188"/>
      <c r="G542" s="189"/>
    </row>
    <row r="543" spans="1:13" ht="15.75" x14ac:dyDescent="0.2">
      <c r="A543" s="219"/>
      <c r="B543" s="228" t="s">
        <v>408</v>
      </c>
      <c r="C543" s="221" t="s">
        <v>221</v>
      </c>
      <c r="D543" s="222">
        <v>9.15</v>
      </c>
      <c r="E543" s="187"/>
      <c r="F543" s="188"/>
      <c r="G543" s="189">
        <f t="shared" ref="G543" si="67">(D543*E543)+(D543*F543)</f>
        <v>0</v>
      </c>
    </row>
    <row r="544" spans="1:13" ht="12.75" x14ac:dyDescent="0.2">
      <c r="A544" s="219" t="s">
        <v>178</v>
      </c>
      <c r="B544" s="236" t="s">
        <v>258</v>
      </c>
      <c r="C544" s="221"/>
      <c r="D544" s="222"/>
      <c r="E544" s="187"/>
      <c r="F544" s="188"/>
      <c r="G544" s="189"/>
    </row>
    <row r="545" spans="1:14" ht="15.75" x14ac:dyDescent="0.2">
      <c r="A545" s="219"/>
      <c r="B545" s="228" t="s">
        <v>266</v>
      </c>
      <c r="C545" s="221" t="s">
        <v>221</v>
      </c>
      <c r="D545" s="222">
        <v>18</v>
      </c>
      <c r="E545" s="187"/>
      <c r="F545" s="188"/>
      <c r="G545" s="189">
        <f t="shared" ref="G545" si="68">(D545*E545)+(D545*F545)</f>
        <v>0</v>
      </c>
    </row>
    <row r="546" spans="1:14" ht="12.75" x14ac:dyDescent="0.2">
      <c r="A546" s="219" t="s">
        <v>241</v>
      </c>
      <c r="B546" s="236" t="s">
        <v>235</v>
      </c>
      <c r="C546" s="221"/>
      <c r="D546" s="222"/>
      <c r="E546" s="187"/>
      <c r="F546" s="188"/>
      <c r="G546" s="189"/>
    </row>
    <row r="547" spans="1:14" ht="43.5" customHeight="1" x14ac:dyDescent="0.2">
      <c r="A547" s="219"/>
      <c r="B547" s="236" t="s">
        <v>267</v>
      </c>
      <c r="C547" s="221"/>
      <c r="D547" s="222"/>
      <c r="E547" s="187"/>
      <c r="F547" s="188"/>
      <c r="G547" s="189"/>
    </row>
    <row r="548" spans="1:14" ht="15.75" x14ac:dyDescent="0.2">
      <c r="A548" s="219"/>
      <c r="B548" s="228" t="s">
        <v>304</v>
      </c>
      <c r="C548" s="221" t="s">
        <v>221</v>
      </c>
      <c r="D548" s="222">
        <v>38.200000000000003</v>
      </c>
      <c r="E548" s="187"/>
      <c r="F548" s="188"/>
      <c r="G548" s="189">
        <f t="shared" ref="G548:G550" si="69">(D548*E548)+(D548*F548)</f>
        <v>0</v>
      </c>
      <c r="I548" s="31">
        <f>1.4*6+0.922*6</f>
        <v>13.931999999999999</v>
      </c>
      <c r="J548" s="48">
        <f>I548*3</f>
        <v>41.795999999999992</v>
      </c>
      <c r="K548" s="48">
        <f>0.6*2*3</f>
        <v>3.5999999999999996</v>
      </c>
      <c r="L548" s="48">
        <f>J548-K548</f>
        <v>38.195999999999991</v>
      </c>
    </row>
    <row r="549" spans="1:14" ht="15.75" x14ac:dyDescent="0.2">
      <c r="A549" s="219"/>
      <c r="B549" s="228" t="s">
        <v>406</v>
      </c>
      <c r="C549" s="221" t="s">
        <v>221</v>
      </c>
      <c r="D549" s="222">
        <v>13.4</v>
      </c>
      <c r="E549" s="187"/>
      <c r="F549" s="188"/>
      <c r="G549" s="189">
        <f t="shared" si="69"/>
        <v>0</v>
      </c>
      <c r="I549" s="31">
        <f>2.915*2+1.65*2</f>
        <v>9.129999999999999</v>
      </c>
      <c r="J549" s="48">
        <f>I549*1.8</f>
        <v>16.433999999999997</v>
      </c>
      <c r="K549" s="48">
        <f>0.6*1.7*3</f>
        <v>3.06</v>
      </c>
      <c r="L549" s="48">
        <f>J549-K549</f>
        <v>13.373999999999997</v>
      </c>
      <c r="M549" s="48">
        <f>SUM(K549:L549)</f>
        <v>16.433999999999997</v>
      </c>
      <c r="N549" s="48">
        <f>M549-2.4</f>
        <v>14.033999999999997</v>
      </c>
    </row>
    <row r="550" spans="1:14" ht="15.75" x14ac:dyDescent="0.2">
      <c r="A550" s="219"/>
      <c r="B550" s="228" t="s">
        <v>407</v>
      </c>
      <c r="C550" s="221" t="s">
        <v>221</v>
      </c>
      <c r="D550" s="222">
        <v>2.1</v>
      </c>
      <c r="E550" s="187"/>
      <c r="F550" s="188"/>
      <c r="G550" s="189">
        <f t="shared" si="69"/>
        <v>0</v>
      </c>
      <c r="I550" s="48">
        <f>1.5*1.4</f>
        <v>2.0999999999999996</v>
      </c>
      <c r="J550" s="48"/>
      <c r="K550" s="48"/>
      <c r="L550" s="48"/>
      <c r="M550" s="48"/>
      <c r="N550" s="48"/>
    </row>
    <row r="551" spans="1:14" ht="12.75" x14ac:dyDescent="0.2">
      <c r="A551" s="219" t="s">
        <v>242</v>
      </c>
      <c r="B551" s="236" t="s">
        <v>236</v>
      </c>
      <c r="C551" s="221"/>
      <c r="D551" s="222"/>
      <c r="E551" s="187"/>
      <c r="F551" s="188"/>
      <c r="G551" s="189"/>
      <c r="I551" s="54"/>
      <c r="J551" s="29"/>
      <c r="K551" s="27"/>
      <c r="L551" s="27"/>
    </row>
    <row r="552" spans="1:14" ht="12.75" x14ac:dyDescent="0.2">
      <c r="A552" s="219" t="s">
        <v>164</v>
      </c>
      <c r="B552" s="228" t="s">
        <v>261</v>
      </c>
      <c r="C552" s="221" t="s">
        <v>117</v>
      </c>
      <c r="D552" s="222">
        <v>151</v>
      </c>
      <c r="E552" s="187"/>
      <c r="F552" s="188"/>
      <c r="G552" s="189">
        <f t="shared" ref="G552" si="70">(D552*E552)+(D552*F552)</f>
        <v>0</v>
      </c>
      <c r="I552" s="22">
        <f>8.3*6+6.2*6+3+4.25*2+2.915*2+13.3+3.5+19.4+4+1.8*3+4.55</f>
        <v>154.48000000000002</v>
      </c>
      <c r="J552" s="22">
        <f>0.55*6</f>
        <v>3.3000000000000003</v>
      </c>
      <c r="K552" s="22">
        <f>I552-J552</f>
        <v>151.18</v>
      </c>
    </row>
    <row r="553" spans="1:14" ht="12.75" x14ac:dyDescent="0.2">
      <c r="A553" s="219"/>
      <c r="B553" s="228"/>
      <c r="C553" s="221"/>
      <c r="D553" s="222"/>
      <c r="E553" s="187"/>
      <c r="F553" s="188"/>
      <c r="G553" s="189"/>
    </row>
    <row r="554" spans="1:14" ht="12.75" x14ac:dyDescent="0.2">
      <c r="A554" s="224" t="s">
        <v>50</v>
      </c>
      <c r="B554" s="225" t="s">
        <v>415</v>
      </c>
      <c r="C554" s="226"/>
      <c r="D554" s="227"/>
      <c r="E554" s="237"/>
      <c r="F554" s="175"/>
      <c r="G554" s="176"/>
    </row>
    <row r="555" spans="1:14" ht="12.75" x14ac:dyDescent="0.2">
      <c r="A555" s="219" t="s">
        <v>240</v>
      </c>
      <c r="B555" s="236" t="s">
        <v>234</v>
      </c>
      <c r="C555" s="221"/>
      <c r="D555" s="222"/>
      <c r="E555" s="187"/>
      <c r="F555" s="188"/>
      <c r="G555" s="189"/>
    </row>
    <row r="556" spans="1:14" ht="12.75" x14ac:dyDescent="0.2">
      <c r="A556" s="219" t="s">
        <v>164</v>
      </c>
      <c r="B556" s="236" t="s">
        <v>257</v>
      </c>
      <c r="C556" s="221"/>
      <c r="D556" s="222"/>
      <c r="E556" s="187"/>
      <c r="F556" s="188"/>
      <c r="G556" s="189"/>
    </row>
    <row r="557" spans="1:14" ht="15.75" x14ac:dyDescent="0.2">
      <c r="A557" s="219"/>
      <c r="B557" s="228" t="s">
        <v>300</v>
      </c>
      <c r="C557" s="221" t="s">
        <v>221</v>
      </c>
      <c r="D557" s="222">
        <v>154.4</v>
      </c>
      <c r="E557" s="187"/>
      <c r="F557" s="188"/>
      <c r="G557" s="189">
        <f t="shared" ref="G557" si="71">(D557*E557)+(D557*F557)</f>
        <v>0</v>
      </c>
    </row>
    <row r="558" spans="1:14" ht="12.75" x14ac:dyDescent="0.2">
      <c r="A558" s="219" t="s">
        <v>165</v>
      </c>
      <c r="B558" s="236" t="s">
        <v>260</v>
      </c>
      <c r="C558" s="221"/>
      <c r="D558" s="222"/>
      <c r="E558" s="187"/>
      <c r="F558" s="188"/>
      <c r="G558" s="189"/>
    </row>
    <row r="559" spans="1:14" ht="15.75" x14ac:dyDescent="0.2">
      <c r="A559" s="219"/>
      <c r="B559" s="228" t="s">
        <v>445</v>
      </c>
      <c r="C559" s="221" t="s">
        <v>221</v>
      </c>
      <c r="D559" s="222">
        <v>41.8</v>
      </c>
      <c r="E559" s="187"/>
      <c r="F559" s="188"/>
      <c r="G559" s="189">
        <f t="shared" ref="G559" si="72">(D559*E559)+(D559*F559)</f>
        <v>0</v>
      </c>
    </row>
    <row r="560" spans="1:14" ht="12.75" x14ac:dyDescent="0.2">
      <c r="A560" s="219" t="s">
        <v>177</v>
      </c>
      <c r="B560" s="236" t="s">
        <v>259</v>
      </c>
      <c r="C560" s="221"/>
      <c r="D560" s="222"/>
      <c r="E560" s="187"/>
      <c r="F560" s="188"/>
      <c r="G560" s="189"/>
    </row>
    <row r="561" spans="1:9" ht="15.75" x14ac:dyDescent="0.2">
      <c r="A561" s="219"/>
      <c r="B561" s="228" t="s">
        <v>408</v>
      </c>
      <c r="C561" s="221" t="s">
        <v>221</v>
      </c>
      <c r="D561" s="222">
        <v>9.15</v>
      </c>
      <c r="E561" s="187"/>
      <c r="F561" s="188"/>
      <c r="G561" s="189">
        <f t="shared" ref="G561" si="73">(D561*E561)+(D561*F561)</f>
        <v>0</v>
      </c>
    </row>
    <row r="562" spans="1:9" ht="12.75" x14ac:dyDescent="0.2">
      <c r="A562" s="219"/>
      <c r="B562" s="228"/>
      <c r="C562" s="221"/>
      <c r="D562" s="222"/>
      <c r="E562" s="187"/>
      <c r="F562" s="188"/>
      <c r="G562" s="189"/>
    </row>
    <row r="563" spans="1:9" ht="12.75" x14ac:dyDescent="0.2">
      <c r="A563" s="219" t="s">
        <v>241</v>
      </c>
      <c r="B563" s="236" t="s">
        <v>235</v>
      </c>
      <c r="C563" s="221"/>
      <c r="D563" s="222"/>
      <c r="E563" s="187"/>
      <c r="F563" s="188"/>
      <c r="G563" s="189"/>
    </row>
    <row r="564" spans="1:9" ht="45" customHeight="1" x14ac:dyDescent="0.2">
      <c r="A564" s="219"/>
      <c r="B564" s="236" t="s">
        <v>267</v>
      </c>
      <c r="C564" s="221"/>
      <c r="D564" s="222"/>
      <c r="E564" s="187"/>
      <c r="F564" s="188"/>
      <c r="G564" s="189"/>
    </row>
    <row r="565" spans="1:9" ht="15.75" x14ac:dyDescent="0.2">
      <c r="A565" s="219"/>
      <c r="B565" s="228" t="s">
        <v>304</v>
      </c>
      <c r="C565" s="221" t="s">
        <v>221</v>
      </c>
      <c r="D565" s="222">
        <v>38.200000000000003</v>
      </c>
      <c r="E565" s="187"/>
      <c r="F565" s="188"/>
      <c r="G565" s="189">
        <f t="shared" ref="G565:G567" si="74">(D565*E565)+(D565*F565)</f>
        <v>0</v>
      </c>
    </row>
    <row r="566" spans="1:9" ht="15.75" x14ac:dyDescent="0.2">
      <c r="A566" s="219"/>
      <c r="B566" s="228" t="s">
        <v>406</v>
      </c>
      <c r="C566" s="221" t="s">
        <v>221</v>
      </c>
      <c r="D566" s="222">
        <v>13.4</v>
      </c>
      <c r="E566" s="187"/>
      <c r="F566" s="188"/>
      <c r="G566" s="189">
        <f t="shared" si="74"/>
        <v>0</v>
      </c>
    </row>
    <row r="567" spans="1:9" ht="15.75" x14ac:dyDescent="0.2">
      <c r="A567" s="219"/>
      <c r="B567" s="228" t="s">
        <v>407</v>
      </c>
      <c r="C567" s="221" t="s">
        <v>221</v>
      </c>
      <c r="D567" s="222">
        <v>2.1</v>
      </c>
      <c r="E567" s="187"/>
      <c r="F567" s="188"/>
      <c r="G567" s="189">
        <f t="shared" si="74"/>
        <v>0</v>
      </c>
    </row>
    <row r="568" spans="1:9" ht="12.75" x14ac:dyDescent="0.2">
      <c r="A568" s="219" t="s">
        <v>242</v>
      </c>
      <c r="B568" s="236" t="s">
        <v>236</v>
      </c>
      <c r="C568" s="221"/>
      <c r="D568" s="222"/>
      <c r="E568" s="187"/>
      <c r="F568" s="188"/>
      <c r="G568" s="189"/>
    </row>
    <row r="569" spans="1:9" ht="12.75" x14ac:dyDescent="0.2">
      <c r="A569" s="219" t="s">
        <v>164</v>
      </c>
      <c r="B569" s="228" t="s">
        <v>261</v>
      </c>
      <c r="C569" s="221" t="s">
        <v>117</v>
      </c>
      <c r="D569" s="222">
        <v>151</v>
      </c>
      <c r="E569" s="187"/>
      <c r="F569" s="188"/>
      <c r="G569" s="189">
        <f t="shared" ref="G569" si="75">(D569*E569)+(D569*F569)</f>
        <v>0</v>
      </c>
    </row>
    <row r="570" spans="1:9" ht="12.75" x14ac:dyDescent="0.2">
      <c r="A570" s="516" t="s">
        <v>152</v>
      </c>
      <c r="B570" s="225" t="s">
        <v>271</v>
      </c>
      <c r="C570" s="226"/>
      <c r="D570" s="227"/>
      <c r="E570" s="237"/>
      <c r="F570" s="175"/>
      <c r="G570" s="176"/>
    </row>
    <row r="571" spans="1:9" ht="12.75" x14ac:dyDescent="0.2">
      <c r="A571" s="219" t="s">
        <v>240</v>
      </c>
      <c r="B571" s="236" t="s">
        <v>234</v>
      </c>
      <c r="C571" s="221"/>
      <c r="D571" s="222"/>
      <c r="E571" s="187"/>
      <c r="F571" s="188"/>
      <c r="G571" s="189"/>
    </row>
    <row r="572" spans="1:9" ht="12.75" x14ac:dyDescent="0.2">
      <c r="A572" s="219" t="s">
        <v>164</v>
      </c>
      <c r="B572" s="236" t="s">
        <v>260</v>
      </c>
      <c r="C572" s="221"/>
      <c r="D572" s="222"/>
      <c r="E572" s="187"/>
      <c r="F572" s="188"/>
      <c r="G572" s="189"/>
    </row>
    <row r="573" spans="1:9" ht="15.75" x14ac:dyDescent="0.2">
      <c r="A573" s="219"/>
      <c r="B573" s="228" t="s">
        <v>447</v>
      </c>
      <c r="C573" s="221" t="s">
        <v>221</v>
      </c>
      <c r="D573" s="222">
        <f>D513</f>
        <v>33.5</v>
      </c>
      <c r="E573" s="187"/>
      <c r="F573" s="188"/>
      <c r="G573" s="189">
        <f t="shared" ref="G573" si="76">(D573*E573)+(D573*F573)</f>
        <v>0</v>
      </c>
    </row>
    <row r="574" spans="1:9" ht="12.75" x14ac:dyDescent="0.2">
      <c r="A574" s="516" t="s">
        <v>153</v>
      </c>
      <c r="B574" s="225" t="s">
        <v>452</v>
      </c>
      <c r="C574" s="226"/>
      <c r="D574" s="227"/>
      <c r="E574" s="237"/>
      <c r="F574" s="175"/>
      <c r="G574" s="176"/>
    </row>
    <row r="575" spans="1:9" ht="12.75" x14ac:dyDescent="0.2">
      <c r="A575" s="219" t="s">
        <v>240</v>
      </c>
      <c r="B575" s="236" t="s">
        <v>453</v>
      </c>
      <c r="C575" s="221"/>
      <c r="D575" s="222"/>
      <c r="E575" s="187"/>
      <c r="F575" s="188"/>
      <c r="G575" s="189"/>
    </row>
    <row r="576" spans="1:9" ht="13.5" x14ac:dyDescent="0.2">
      <c r="A576" s="219"/>
      <c r="B576" s="289" t="s">
        <v>454</v>
      </c>
      <c r="C576" s="290" t="s">
        <v>141</v>
      </c>
      <c r="D576" s="141">
        <v>1.85</v>
      </c>
      <c r="E576" s="142"/>
      <c r="F576" s="143"/>
      <c r="G576" s="144">
        <f>(D576*E576)+(D576*F576)</f>
        <v>0</v>
      </c>
      <c r="I576" s="22">
        <f>1.41*1.3</f>
        <v>1.833</v>
      </c>
    </row>
    <row r="577" spans="1:13" ht="13.5" x14ac:dyDescent="0.2">
      <c r="A577" s="219"/>
      <c r="B577" s="289" t="s">
        <v>455</v>
      </c>
      <c r="C577" s="290" t="s">
        <v>141</v>
      </c>
      <c r="D577" s="141">
        <v>4.7</v>
      </c>
      <c r="E577" s="142"/>
      <c r="F577" s="143"/>
      <c r="G577" s="144">
        <f t="shared" ref="G577:G578" si="77">(D577*E577)+(D577*F577)</f>
        <v>0</v>
      </c>
      <c r="I577" s="22">
        <f>1.41*1.3</f>
        <v>1.833</v>
      </c>
      <c r="J577" s="22">
        <f>2.385*1.2</f>
        <v>2.8619999999999997</v>
      </c>
      <c r="K577" s="22">
        <f>SUM(I577:J577)</f>
        <v>4.6949999999999994</v>
      </c>
    </row>
    <row r="578" spans="1:13" ht="13.5" x14ac:dyDescent="0.2">
      <c r="A578" s="219"/>
      <c r="B578" s="289" t="s">
        <v>456</v>
      </c>
      <c r="C578" s="290" t="s">
        <v>141</v>
      </c>
      <c r="D578" s="141">
        <v>4.7</v>
      </c>
      <c r="E578" s="142"/>
      <c r="F578" s="143"/>
      <c r="G578" s="144">
        <f t="shared" si="77"/>
        <v>0</v>
      </c>
    </row>
    <row r="579" spans="1:13" ht="12.75" x14ac:dyDescent="0.2">
      <c r="A579" s="219"/>
      <c r="B579" s="289"/>
      <c r="C579" s="290"/>
      <c r="D579" s="141"/>
      <c r="E579" s="142"/>
      <c r="F579" s="143"/>
      <c r="G579" s="144"/>
    </row>
    <row r="580" spans="1:13" x14ac:dyDescent="0.2">
      <c r="A580" s="238" t="s">
        <v>167</v>
      </c>
      <c r="B580" s="239" t="s">
        <v>208</v>
      </c>
      <c r="C580" s="201"/>
      <c r="D580" s="202"/>
      <c r="E580" s="203"/>
      <c r="F580" s="240"/>
      <c r="G580" s="241"/>
    </row>
    <row r="581" spans="1:13" ht="36" x14ac:dyDescent="0.2">
      <c r="A581" s="242"/>
      <c r="B581" s="243" t="s">
        <v>210</v>
      </c>
      <c r="C581" s="244"/>
      <c r="D581" s="141"/>
      <c r="E581" s="187"/>
      <c r="F581" s="188"/>
      <c r="G581" s="189"/>
    </row>
    <row r="582" spans="1:13" ht="13.5" x14ac:dyDescent="0.2">
      <c r="A582" s="242"/>
      <c r="B582" s="243" t="s">
        <v>209</v>
      </c>
      <c r="C582" s="185" t="s">
        <v>140</v>
      </c>
      <c r="D582" s="141">
        <f>9.15*3</f>
        <v>27.450000000000003</v>
      </c>
      <c r="E582" s="187"/>
      <c r="F582" s="188"/>
      <c r="G582" s="189">
        <f>(D582*E582)+(D582*F582)</f>
        <v>0</v>
      </c>
      <c r="I582" s="48">
        <f>D582/2.5</f>
        <v>10.98</v>
      </c>
      <c r="J582" s="48">
        <f>I582*800</f>
        <v>8784</v>
      </c>
      <c r="K582" s="48">
        <f>J582/D582</f>
        <v>319.99999999999994</v>
      </c>
    </row>
    <row r="583" spans="1:13" ht="13.5" x14ac:dyDescent="0.2">
      <c r="A583" s="242"/>
      <c r="B583" s="243" t="s">
        <v>482</v>
      </c>
      <c r="C583" s="185" t="s">
        <v>140</v>
      </c>
      <c r="D583" s="141">
        <f>D495+D501+D504+D508+D510</f>
        <v>131</v>
      </c>
      <c r="E583" s="187"/>
      <c r="F583" s="188"/>
      <c r="G583" s="189">
        <f>(D583*E583)+(D583*F583)</f>
        <v>0</v>
      </c>
      <c r="I583" s="31"/>
      <c r="L583" s="31"/>
    </row>
    <row r="584" spans="1:13" ht="13.5" x14ac:dyDescent="0.2">
      <c r="A584" s="242"/>
      <c r="B584" s="243" t="s">
        <v>446</v>
      </c>
      <c r="C584" s="185" t="s">
        <v>140</v>
      </c>
      <c r="D584" s="141">
        <f>D237</f>
        <v>33.5</v>
      </c>
      <c r="E584" s="187"/>
      <c r="F584" s="188"/>
      <c r="G584" s="189">
        <f>(D584*E584)+(D584*F584)</f>
        <v>0</v>
      </c>
    </row>
    <row r="585" spans="1:13" x14ac:dyDescent="0.2">
      <c r="A585" s="238" t="s">
        <v>168</v>
      </c>
      <c r="B585" s="239" t="s">
        <v>222</v>
      </c>
      <c r="C585" s="201"/>
      <c r="D585" s="202"/>
      <c r="E585" s="203"/>
      <c r="F585" s="240"/>
      <c r="G585" s="241"/>
    </row>
    <row r="586" spans="1:13" ht="27" customHeight="1" x14ac:dyDescent="0.2">
      <c r="A586" s="245" t="s">
        <v>164</v>
      </c>
      <c r="B586" s="243" t="s">
        <v>249</v>
      </c>
      <c r="C586" s="185" t="s">
        <v>15</v>
      </c>
      <c r="D586" s="141">
        <v>1</v>
      </c>
      <c r="E586" s="187"/>
      <c r="F586" s="188"/>
      <c r="G586" s="189">
        <f>(D586*E586)+(D586*F586)</f>
        <v>0</v>
      </c>
      <c r="J586" s="48" t="e">
        <f>D524+D526+#REF!+#REF!+D528+#REF!+#REF!+#REF!+D539+#REF!+#REF!+D541+D543+D548+#REF!+#REF!+#REF!+#REF!+#REF!+#REF!+#REF!+#REF!+#REF!+#REF!+#REF!+#REF!+#REF!+#REF!+#REF!+#REF!+#REF!</f>
        <v>#REF!</v>
      </c>
      <c r="K586" s="48" t="e">
        <f>J586/3</f>
        <v>#REF!</v>
      </c>
      <c r="L586" s="48" t="e">
        <f>K586*235</f>
        <v>#REF!</v>
      </c>
      <c r="M586" s="48" t="e">
        <f>L586*2</f>
        <v>#REF!</v>
      </c>
    </row>
    <row r="587" spans="1:13" ht="12" customHeight="1" thickBot="1" x14ac:dyDescent="0.25">
      <c r="A587" s="245"/>
      <c r="B587" s="243"/>
      <c r="C587" s="185"/>
      <c r="D587" s="141"/>
      <c r="E587" s="187"/>
      <c r="F587" s="188"/>
      <c r="G587" s="189"/>
      <c r="J587" s="48"/>
      <c r="K587" s="48"/>
      <c r="L587" s="48"/>
      <c r="M587" s="48"/>
    </row>
    <row r="588" spans="1:13" ht="12" customHeight="1" x14ac:dyDescent="0.2">
      <c r="A588" s="114"/>
      <c r="B588" s="115" t="s">
        <v>145</v>
      </c>
      <c r="C588" s="127"/>
      <c r="D588" s="117"/>
      <c r="E588" s="118"/>
      <c r="F588" s="210"/>
      <c r="G588" s="168"/>
    </row>
    <row r="589" spans="1:13" ht="12" customHeight="1" thickBot="1" x14ac:dyDescent="0.25">
      <c r="A589" s="120"/>
      <c r="B589" s="103" t="s">
        <v>146</v>
      </c>
      <c r="C589" s="128"/>
      <c r="D589" s="122"/>
      <c r="E589" s="123"/>
      <c r="F589" s="211"/>
      <c r="G589" s="169">
        <f>SUM(G493:G588)</f>
        <v>0</v>
      </c>
    </row>
    <row r="590" spans="1:13" ht="12" customHeight="1" x14ac:dyDescent="0.2">
      <c r="A590" s="114"/>
      <c r="B590" s="507"/>
      <c r="C590" s="127"/>
      <c r="D590" s="117"/>
      <c r="E590" s="118"/>
      <c r="F590" s="210"/>
      <c r="G590" s="373"/>
    </row>
    <row r="591" spans="1:13" x14ac:dyDescent="0.2">
      <c r="A591" s="58"/>
      <c r="B591" s="517" t="s">
        <v>190</v>
      </c>
      <c r="C591" s="63"/>
      <c r="D591" s="55"/>
      <c r="E591" s="61"/>
      <c r="F591" s="497"/>
      <c r="G591" s="64"/>
    </row>
    <row r="592" spans="1:13" x14ac:dyDescent="0.2">
      <c r="A592" s="58"/>
      <c r="B592" s="496" t="s">
        <v>99</v>
      </c>
      <c r="C592" s="63"/>
      <c r="D592" s="55"/>
      <c r="E592" s="61"/>
      <c r="F592" s="497"/>
      <c r="G592" s="64"/>
    </row>
    <row r="593" spans="1:12" x14ac:dyDescent="0.2">
      <c r="A593" s="77" t="s">
        <v>169</v>
      </c>
      <c r="B593" s="563" t="s">
        <v>40</v>
      </c>
      <c r="C593" s="63"/>
      <c r="D593" s="55"/>
      <c r="E593" s="61"/>
      <c r="F593" s="497"/>
      <c r="G593" s="64"/>
    </row>
    <row r="594" spans="1:12" ht="33" customHeight="1" x14ac:dyDescent="0.2">
      <c r="A594" s="138"/>
      <c r="B594" s="583" t="s">
        <v>274</v>
      </c>
      <c r="C594" s="584"/>
      <c r="D594" s="584"/>
      <c r="E594" s="584"/>
      <c r="F594" s="585"/>
      <c r="G594" s="206"/>
    </row>
    <row r="595" spans="1:12" ht="33.75" customHeight="1" x14ac:dyDescent="0.2">
      <c r="A595" s="138"/>
      <c r="B595" s="583" t="s">
        <v>273</v>
      </c>
      <c r="C595" s="584"/>
      <c r="D595" s="584"/>
      <c r="E595" s="584"/>
      <c r="F595" s="585"/>
      <c r="G595" s="206"/>
    </row>
    <row r="596" spans="1:12" ht="12" customHeight="1" x14ac:dyDescent="0.2">
      <c r="A596" s="138"/>
      <c r="B596" s="586" t="s">
        <v>435</v>
      </c>
      <c r="C596" s="586"/>
      <c r="D596" s="586"/>
      <c r="E596" s="586"/>
      <c r="F596" s="586"/>
      <c r="G596" s="206"/>
    </row>
    <row r="597" spans="1:12" ht="28.5" customHeight="1" x14ac:dyDescent="0.2">
      <c r="A597" s="138"/>
      <c r="B597" s="586" t="s">
        <v>272</v>
      </c>
      <c r="C597" s="586"/>
      <c r="D597" s="586"/>
      <c r="E597" s="586"/>
      <c r="F597" s="586"/>
      <c r="G597" s="206"/>
    </row>
    <row r="598" spans="1:12" ht="13.5" customHeight="1" x14ac:dyDescent="0.2">
      <c r="A598" s="480"/>
      <c r="B598" s="614" t="s">
        <v>219</v>
      </c>
      <c r="C598" s="615"/>
      <c r="D598" s="615"/>
      <c r="E598" s="615"/>
      <c r="F598" s="616"/>
      <c r="G598" s="564"/>
    </row>
    <row r="599" spans="1:12" x14ac:dyDescent="0.2">
      <c r="A599" s="255" t="s">
        <v>149</v>
      </c>
      <c r="B599" s="256" t="s">
        <v>101</v>
      </c>
      <c r="C599" s="257"/>
      <c r="D599" s="258"/>
      <c r="E599" s="235"/>
      <c r="F599" s="170"/>
      <c r="G599" s="171"/>
    </row>
    <row r="600" spans="1:12" x14ac:dyDescent="0.2">
      <c r="A600" s="259"/>
      <c r="B600" s="260" t="s">
        <v>372</v>
      </c>
      <c r="C600" s="261"/>
      <c r="D600" s="262"/>
      <c r="E600" s="263"/>
      <c r="F600" s="264"/>
      <c r="G600" s="265"/>
    </row>
    <row r="601" spans="1:12" s="49" customFormat="1" ht="40.5" customHeight="1" x14ac:dyDescent="0.2">
      <c r="A601" s="266" t="s">
        <v>164</v>
      </c>
      <c r="B601" s="267" t="s">
        <v>436</v>
      </c>
      <c r="C601" s="268" t="s">
        <v>102</v>
      </c>
      <c r="D601" s="141">
        <v>6</v>
      </c>
      <c r="E601" s="142"/>
      <c r="F601" s="269"/>
      <c r="G601" s="270">
        <f t="shared" ref="G601:G603" si="78">(D601*E601)+(D601*F601)</f>
        <v>0</v>
      </c>
      <c r="I601" s="56">
        <f>0.95*2.785</f>
        <v>2.64575</v>
      </c>
      <c r="J601" s="53">
        <f>I601*D601</f>
        <v>15.874500000000001</v>
      </c>
      <c r="K601" s="56"/>
    </row>
    <row r="602" spans="1:12" s="49" customFormat="1" ht="27.75" customHeight="1" x14ac:dyDescent="0.2">
      <c r="A602" s="266" t="s">
        <v>165</v>
      </c>
      <c r="B602" s="267" t="s">
        <v>437</v>
      </c>
      <c r="C602" s="268" t="s">
        <v>102</v>
      </c>
      <c r="D602" s="141">
        <v>2</v>
      </c>
      <c r="E602" s="142"/>
      <c r="F602" s="269"/>
      <c r="G602" s="270">
        <f t="shared" si="78"/>
        <v>0</v>
      </c>
      <c r="I602" s="53">
        <f>0.85*2</f>
        <v>1.7</v>
      </c>
      <c r="J602" s="53">
        <f>I602*D602</f>
        <v>3.4</v>
      </c>
      <c r="K602" s="56"/>
    </row>
    <row r="603" spans="1:12" s="49" customFormat="1" ht="27.75" customHeight="1" x14ac:dyDescent="0.2">
      <c r="A603" s="266" t="s">
        <v>177</v>
      </c>
      <c r="B603" s="267" t="s">
        <v>392</v>
      </c>
      <c r="C603" s="268" t="s">
        <v>102</v>
      </c>
      <c r="D603" s="141">
        <v>3</v>
      </c>
      <c r="E603" s="142"/>
      <c r="F603" s="269"/>
      <c r="G603" s="270">
        <f t="shared" si="78"/>
        <v>0</v>
      </c>
      <c r="I603" s="53">
        <f>0.78*2</f>
        <v>1.56</v>
      </c>
      <c r="J603" s="53">
        <f>I603*D603</f>
        <v>4.68</v>
      </c>
      <c r="K603" s="56"/>
    </row>
    <row r="604" spans="1:12" ht="12" customHeight="1" x14ac:dyDescent="0.2">
      <c r="A604" s="259"/>
      <c r="B604" s="260" t="s">
        <v>371</v>
      </c>
      <c r="C604" s="261"/>
      <c r="D604" s="262"/>
      <c r="E604" s="263"/>
      <c r="F604" s="264"/>
      <c r="G604" s="265"/>
      <c r="I604" s="31"/>
      <c r="J604" s="53"/>
      <c r="K604" s="48"/>
      <c r="L604" s="48"/>
    </row>
    <row r="605" spans="1:12" ht="38.25" customHeight="1" x14ac:dyDescent="0.2">
      <c r="A605" s="266" t="s">
        <v>164</v>
      </c>
      <c r="B605" s="267" t="s">
        <v>393</v>
      </c>
      <c r="C605" s="268" t="s">
        <v>102</v>
      </c>
      <c r="D605" s="141">
        <v>6</v>
      </c>
      <c r="E605" s="142"/>
      <c r="F605" s="269"/>
      <c r="G605" s="270">
        <f t="shared" ref="G605:G607" si="79">(D605*E605)+(D605*F605)</f>
        <v>0</v>
      </c>
      <c r="I605" s="31">
        <f>2.45*1.69</f>
        <v>4.1405000000000003</v>
      </c>
      <c r="J605" s="53">
        <f>D605*I605</f>
        <v>24.843000000000004</v>
      </c>
      <c r="K605" s="48"/>
      <c r="L605" s="48">
        <f>J604+I601</f>
        <v>2.64575</v>
      </c>
    </row>
    <row r="606" spans="1:12" ht="37.5" customHeight="1" x14ac:dyDescent="0.2">
      <c r="A606" s="266" t="s">
        <v>165</v>
      </c>
      <c r="B606" s="267" t="s">
        <v>438</v>
      </c>
      <c r="C606" s="268" t="s">
        <v>102</v>
      </c>
      <c r="D606" s="141">
        <v>6</v>
      </c>
      <c r="E606" s="142"/>
      <c r="F606" s="269"/>
      <c r="G606" s="270">
        <f t="shared" si="79"/>
        <v>0</v>
      </c>
      <c r="I606" s="31">
        <f>1.575*1.785</f>
        <v>2.811375</v>
      </c>
      <c r="J606" s="53">
        <f>I606*D606</f>
        <v>16.86825</v>
      </c>
      <c r="K606" s="48"/>
    </row>
    <row r="607" spans="1:12" ht="27.75" customHeight="1" x14ac:dyDescent="0.2">
      <c r="A607" s="266" t="s">
        <v>177</v>
      </c>
      <c r="B607" s="267" t="s">
        <v>479</v>
      </c>
      <c r="C607" s="268" t="s">
        <v>102</v>
      </c>
      <c r="D607" s="141">
        <v>3</v>
      </c>
      <c r="E607" s="142"/>
      <c r="F607" s="269"/>
      <c r="G607" s="270">
        <f t="shared" si="79"/>
        <v>0</v>
      </c>
      <c r="I607" s="31">
        <f>0.7*0.65</f>
        <v>0.45499999999999996</v>
      </c>
      <c r="J607" s="53">
        <f>I607*D607</f>
        <v>1.3649999999999998</v>
      </c>
      <c r="K607" s="48"/>
    </row>
    <row r="608" spans="1:12" ht="12" customHeight="1" x14ac:dyDescent="0.2">
      <c r="A608" s="259"/>
      <c r="B608" s="260" t="s">
        <v>370</v>
      </c>
      <c r="C608" s="261"/>
      <c r="D608" s="262"/>
      <c r="E608" s="263"/>
      <c r="F608" s="264"/>
      <c r="G608" s="265"/>
      <c r="I608" s="31"/>
      <c r="J608" s="53">
        <f>SUM(J601:J607)</f>
        <v>67.030749999999998</v>
      </c>
      <c r="K608" s="48"/>
      <c r="L608" s="48">
        <f>J608-J602</f>
        <v>63.630749999999999</v>
      </c>
    </row>
    <row r="609" spans="1:12" ht="30" customHeight="1" x14ac:dyDescent="0.2">
      <c r="A609" s="266" t="s">
        <v>164</v>
      </c>
      <c r="B609" s="267" t="s">
        <v>394</v>
      </c>
      <c r="C609" s="268" t="s">
        <v>102</v>
      </c>
      <c r="D609" s="141">
        <v>3</v>
      </c>
      <c r="E609" s="142"/>
      <c r="F609" s="269"/>
      <c r="G609" s="270">
        <f t="shared" ref="G609:G610" si="80">(D609*E609)+(D609*F609)</f>
        <v>0</v>
      </c>
      <c r="I609" s="31"/>
      <c r="J609" s="53"/>
      <c r="K609" s="48"/>
    </row>
    <row r="610" spans="1:12" ht="25.5" customHeight="1" x14ac:dyDescent="0.2">
      <c r="A610" s="266" t="s">
        <v>165</v>
      </c>
      <c r="B610" s="267" t="s">
        <v>395</v>
      </c>
      <c r="C610" s="268" t="s">
        <v>102</v>
      </c>
      <c r="D610" s="141">
        <v>2</v>
      </c>
      <c r="E610" s="142"/>
      <c r="F610" s="269"/>
      <c r="G610" s="270">
        <f t="shared" si="80"/>
        <v>0</v>
      </c>
      <c r="I610" s="31"/>
      <c r="J610" s="53"/>
      <c r="K610" s="48"/>
    </row>
    <row r="611" spans="1:12" ht="12" customHeight="1" x14ac:dyDescent="0.2">
      <c r="A611" s="266"/>
      <c r="B611" s="267"/>
      <c r="C611" s="268"/>
      <c r="D611" s="141"/>
      <c r="E611" s="142"/>
      <c r="F611" s="269"/>
      <c r="G611" s="270"/>
      <c r="I611" s="31"/>
      <c r="J611" s="53"/>
      <c r="K611" s="48"/>
    </row>
    <row r="612" spans="1:12" x14ac:dyDescent="0.2">
      <c r="A612" s="271" t="s">
        <v>150</v>
      </c>
      <c r="B612" s="272" t="s">
        <v>58</v>
      </c>
      <c r="C612" s="273"/>
      <c r="D612" s="274"/>
      <c r="E612" s="237"/>
      <c r="F612" s="175"/>
      <c r="G612" s="176"/>
      <c r="J612" s="31"/>
      <c r="K612" s="31"/>
    </row>
    <row r="613" spans="1:12" x14ac:dyDescent="0.2">
      <c r="A613" s="259"/>
      <c r="B613" s="260" t="s">
        <v>372</v>
      </c>
      <c r="C613" s="261"/>
      <c r="D613" s="262"/>
      <c r="E613" s="263"/>
      <c r="F613" s="264"/>
      <c r="G613" s="265"/>
      <c r="K613" s="31"/>
    </row>
    <row r="614" spans="1:12" ht="36" x14ac:dyDescent="0.2">
      <c r="A614" s="266" t="s">
        <v>164</v>
      </c>
      <c r="B614" s="267" t="s">
        <v>436</v>
      </c>
      <c r="C614" s="268" t="s">
        <v>102</v>
      </c>
      <c r="D614" s="141">
        <v>6</v>
      </c>
      <c r="E614" s="142"/>
      <c r="F614" s="269"/>
      <c r="G614" s="270">
        <f t="shared" ref="G614:G616" si="81">(D614*E614)+(D614*F614)</f>
        <v>0</v>
      </c>
      <c r="H614" s="49"/>
      <c r="I614" s="53">
        <f>0.95*2.785</f>
        <v>2.64575</v>
      </c>
      <c r="J614" s="53">
        <f t="shared" ref="J614:J617" si="82">I614*D614</f>
        <v>15.874500000000001</v>
      </c>
      <c r="K614" s="56"/>
      <c r="L614" s="49"/>
    </row>
    <row r="615" spans="1:12" ht="24" x14ac:dyDescent="0.2">
      <c r="A615" s="266" t="s">
        <v>165</v>
      </c>
      <c r="B615" s="267" t="s">
        <v>437</v>
      </c>
      <c r="C615" s="268" t="s">
        <v>102</v>
      </c>
      <c r="D615" s="141">
        <v>1</v>
      </c>
      <c r="E615" s="142"/>
      <c r="F615" s="269"/>
      <c r="G615" s="270">
        <f t="shared" si="81"/>
        <v>0</v>
      </c>
      <c r="H615" s="49"/>
      <c r="I615" s="53">
        <f>0.85*2</f>
        <v>1.7</v>
      </c>
      <c r="J615" s="53">
        <f t="shared" si="82"/>
        <v>1.7</v>
      </c>
      <c r="K615" s="56"/>
      <c r="L615" s="49"/>
    </row>
    <row r="616" spans="1:12" ht="24" x14ac:dyDescent="0.2">
      <c r="A616" s="266" t="s">
        <v>177</v>
      </c>
      <c r="B616" s="267" t="s">
        <v>392</v>
      </c>
      <c r="C616" s="268" t="s">
        <v>102</v>
      </c>
      <c r="D616" s="141">
        <v>3</v>
      </c>
      <c r="E616" s="142"/>
      <c r="F616" s="269"/>
      <c r="G616" s="270">
        <f t="shared" si="81"/>
        <v>0</v>
      </c>
      <c r="H616" s="49"/>
      <c r="I616" s="53">
        <f>0.78*2</f>
        <v>1.56</v>
      </c>
      <c r="J616" s="53">
        <f t="shared" si="82"/>
        <v>4.68</v>
      </c>
      <c r="K616" s="56"/>
      <c r="L616" s="49"/>
    </row>
    <row r="617" spans="1:12" ht="12" customHeight="1" x14ac:dyDescent="0.2">
      <c r="A617" s="259"/>
      <c r="B617" s="260" t="s">
        <v>371</v>
      </c>
      <c r="C617" s="261"/>
      <c r="D617" s="262"/>
      <c r="E617" s="263"/>
      <c r="F617" s="264"/>
      <c r="G617" s="265"/>
      <c r="I617" s="31"/>
      <c r="J617" s="53">
        <f t="shared" si="82"/>
        <v>0</v>
      </c>
      <c r="K617" s="56"/>
      <c r="L617" s="49"/>
    </row>
    <row r="618" spans="1:12" ht="36" x14ac:dyDescent="0.2">
      <c r="A618" s="266" t="s">
        <v>164</v>
      </c>
      <c r="B618" s="267" t="s">
        <v>393</v>
      </c>
      <c r="C618" s="268" t="s">
        <v>102</v>
      </c>
      <c r="D618" s="141">
        <v>6</v>
      </c>
      <c r="E618" s="142"/>
      <c r="F618" s="269"/>
      <c r="G618" s="270">
        <f t="shared" ref="G618:G620" si="83">(D618*E618)+(D618*F618)</f>
        <v>0</v>
      </c>
      <c r="I618" s="31">
        <f>2.45*1.69</f>
        <v>4.1405000000000003</v>
      </c>
      <c r="J618" s="53">
        <f>D618*I618</f>
        <v>24.843000000000004</v>
      </c>
      <c r="K618" s="48"/>
      <c r="L618" s="48">
        <f>J617+I614</f>
        <v>2.64575</v>
      </c>
    </row>
    <row r="619" spans="1:12" ht="39" customHeight="1" x14ac:dyDescent="0.2">
      <c r="A619" s="266" t="s">
        <v>165</v>
      </c>
      <c r="B619" s="267" t="s">
        <v>438</v>
      </c>
      <c r="C619" s="268" t="s">
        <v>102</v>
      </c>
      <c r="D619" s="141">
        <v>6</v>
      </c>
      <c r="E619" s="142"/>
      <c r="F619" s="269"/>
      <c r="G619" s="270">
        <f t="shared" si="83"/>
        <v>0</v>
      </c>
      <c r="I619" s="31">
        <f>1.575*1.785</f>
        <v>2.811375</v>
      </c>
      <c r="J619" s="53">
        <f>I619*D619</f>
        <v>16.86825</v>
      </c>
      <c r="K619" s="48"/>
    </row>
    <row r="620" spans="1:12" ht="24.75" thickBot="1" x14ac:dyDescent="0.25">
      <c r="A620" s="536" t="s">
        <v>177</v>
      </c>
      <c r="B620" s="339" t="s">
        <v>479</v>
      </c>
      <c r="C620" s="537" t="s">
        <v>102</v>
      </c>
      <c r="D620" s="254">
        <v>3</v>
      </c>
      <c r="E620" s="157"/>
      <c r="F620" s="538"/>
      <c r="G620" s="539">
        <f t="shared" si="83"/>
        <v>0</v>
      </c>
      <c r="I620" s="31">
        <f>0.7*0.65</f>
        <v>0.45499999999999996</v>
      </c>
      <c r="J620" s="53">
        <f t="shared" ref="J620" si="84">I620*D620</f>
        <v>1.3649999999999998</v>
      </c>
      <c r="K620" s="48"/>
    </row>
    <row r="621" spans="1:12" x14ac:dyDescent="0.2">
      <c r="A621" s="266"/>
      <c r="B621" s="267"/>
      <c r="C621" s="268"/>
      <c r="D621" s="141"/>
      <c r="E621" s="142"/>
      <c r="F621" s="269"/>
      <c r="G621" s="270"/>
      <c r="I621" s="31"/>
      <c r="J621" s="53"/>
      <c r="K621" s="48"/>
    </row>
    <row r="622" spans="1:12" x14ac:dyDescent="0.2">
      <c r="A622" s="266"/>
      <c r="B622" s="267"/>
      <c r="C622" s="268"/>
      <c r="D622" s="141"/>
      <c r="E622" s="142"/>
      <c r="F622" s="269"/>
      <c r="G622" s="270"/>
      <c r="I622" s="31"/>
      <c r="J622" s="53"/>
      <c r="K622" s="48"/>
    </row>
    <row r="623" spans="1:12" x14ac:dyDescent="0.2">
      <c r="A623" s="266"/>
      <c r="B623" s="267"/>
      <c r="C623" s="268"/>
      <c r="D623" s="141"/>
      <c r="E623" s="142"/>
      <c r="F623" s="269"/>
      <c r="G623" s="270"/>
      <c r="I623" s="31"/>
      <c r="J623" s="53"/>
      <c r="K623" s="48"/>
    </row>
    <row r="624" spans="1:12" x14ac:dyDescent="0.2">
      <c r="A624" s="266"/>
      <c r="B624" s="267"/>
      <c r="C624" s="268"/>
      <c r="D624" s="141"/>
      <c r="E624" s="142"/>
      <c r="F624" s="269"/>
      <c r="G624" s="270"/>
      <c r="I624" s="31"/>
      <c r="J624" s="53"/>
      <c r="K624" s="48"/>
    </row>
    <row r="625" spans="1:12" x14ac:dyDescent="0.2">
      <c r="A625" s="266"/>
      <c r="B625" s="267"/>
      <c r="C625" s="268"/>
      <c r="D625" s="141"/>
      <c r="E625" s="142"/>
      <c r="F625" s="269"/>
      <c r="G625" s="270"/>
      <c r="I625" s="31"/>
      <c r="J625" s="53"/>
      <c r="K625" s="48"/>
    </row>
    <row r="626" spans="1:12" x14ac:dyDescent="0.2">
      <c r="A626" s="266"/>
      <c r="B626" s="267"/>
      <c r="C626" s="268"/>
      <c r="D626" s="141"/>
      <c r="E626" s="142"/>
      <c r="F626" s="269"/>
      <c r="G626" s="270"/>
      <c r="I626" s="31"/>
      <c r="J626" s="53"/>
      <c r="K626" s="48"/>
    </row>
    <row r="627" spans="1:12" x14ac:dyDescent="0.2">
      <c r="A627" s="266"/>
      <c r="B627" s="267"/>
      <c r="C627" s="268"/>
      <c r="D627" s="141"/>
      <c r="E627" s="142"/>
      <c r="F627" s="269"/>
      <c r="G627" s="270"/>
      <c r="I627" s="31"/>
      <c r="J627" s="53"/>
      <c r="K627" s="48"/>
    </row>
    <row r="628" spans="1:12" x14ac:dyDescent="0.2">
      <c r="A628" s="266"/>
      <c r="B628" s="267"/>
      <c r="C628" s="268"/>
      <c r="D628" s="141"/>
      <c r="E628" s="142"/>
      <c r="F628" s="269"/>
      <c r="G628" s="270"/>
      <c r="I628" s="31"/>
      <c r="J628" s="53"/>
      <c r="K628" s="48"/>
    </row>
    <row r="629" spans="1:12" x14ac:dyDescent="0.2">
      <c r="A629" s="266"/>
      <c r="B629" s="267"/>
      <c r="C629" s="268"/>
      <c r="D629" s="141"/>
      <c r="E629" s="142"/>
      <c r="F629" s="269"/>
      <c r="G629" s="270"/>
      <c r="I629" s="31"/>
      <c r="J629" s="53"/>
      <c r="K629" s="48"/>
    </row>
    <row r="630" spans="1:12" x14ac:dyDescent="0.2">
      <c r="A630" s="266"/>
      <c r="B630" s="267"/>
      <c r="C630" s="268"/>
      <c r="D630" s="141"/>
      <c r="E630" s="142"/>
      <c r="F630" s="269"/>
      <c r="G630" s="270"/>
      <c r="I630" s="31"/>
      <c r="J630" s="53"/>
      <c r="K630" s="48"/>
    </row>
    <row r="631" spans="1:12" x14ac:dyDescent="0.2">
      <c r="A631" s="266"/>
      <c r="B631" s="267"/>
      <c r="C631" s="268"/>
      <c r="D631" s="141"/>
      <c r="E631" s="142"/>
      <c r="F631" s="269"/>
      <c r="G631" s="270"/>
      <c r="I631" s="31"/>
      <c r="J631" s="53"/>
      <c r="K631" s="48"/>
    </row>
    <row r="632" spans="1:12" x14ac:dyDescent="0.2">
      <c r="A632" s="493"/>
      <c r="B632" s="569"/>
      <c r="C632" s="570"/>
      <c r="D632" s="571"/>
      <c r="E632" s="470"/>
      <c r="F632" s="572"/>
      <c r="G632" s="573"/>
      <c r="I632" s="31"/>
      <c r="J632" s="53"/>
      <c r="K632" s="48"/>
    </row>
    <row r="633" spans="1:12" ht="12" customHeight="1" x14ac:dyDescent="0.2">
      <c r="A633" s="259"/>
      <c r="B633" s="260" t="s">
        <v>370</v>
      </c>
      <c r="C633" s="261"/>
      <c r="D633" s="262"/>
      <c r="E633" s="263"/>
      <c r="F633" s="264"/>
      <c r="G633" s="265"/>
      <c r="I633" s="31"/>
      <c r="J633" s="53">
        <f>SUM(J614:J620)</f>
        <v>65.330749999999995</v>
      </c>
      <c r="K633" s="48">
        <f>J615+J616</f>
        <v>6.38</v>
      </c>
      <c r="L633" s="48">
        <f>J633-K633</f>
        <v>58.950749999999992</v>
      </c>
    </row>
    <row r="634" spans="1:12" ht="24" customHeight="1" x14ac:dyDescent="0.2">
      <c r="A634" s="266" t="s">
        <v>164</v>
      </c>
      <c r="B634" s="267" t="s">
        <v>373</v>
      </c>
      <c r="C634" s="268" t="s">
        <v>102</v>
      </c>
      <c r="D634" s="141">
        <v>3</v>
      </c>
      <c r="E634" s="142"/>
      <c r="F634" s="269"/>
      <c r="G634" s="270">
        <f t="shared" ref="G634:G635" si="85">(D634*E634)+(D634*F634)</f>
        <v>0</v>
      </c>
      <c r="I634" s="31"/>
      <c r="J634" s="53"/>
      <c r="K634" s="31"/>
    </row>
    <row r="635" spans="1:12" ht="27" customHeight="1" x14ac:dyDescent="0.2">
      <c r="A635" s="266" t="s">
        <v>165</v>
      </c>
      <c r="B635" s="267" t="s">
        <v>395</v>
      </c>
      <c r="C635" s="268" t="s">
        <v>102</v>
      </c>
      <c r="D635" s="141">
        <v>2</v>
      </c>
      <c r="E635" s="142"/>
      <c r="F635" s="269"/>
      <c r="G635" s="270">
        <f t="shared" si="85"/>
        <v>0</v>
      </c>
      <c r="I635" s="31"/>
      <c r="J635" s="53"/>
      <c r="K635" s="31"/>
    </row>
    <row r="636" spans="1:12" x14ac:dyDescent="0.2">
      <c r="A636" s="271" t="s">
        <v>50</v>
      </c>
      <c r="B636" s="272" t="s">
        <v>415</v>
      </c>
      <c r="C636" s="273"/>
      <c r="D636" s="274"/>
      <c r="E636" s="237"/>
      <c r="F636" s="175"/>
      <c r="G636" s="176"/>
      <c r="J636" s="31"/>
      <c r="K636" s="31"/>
    </row>
    <row r="637" spans="1:12" x14ac:dyDescent="0.2">
      <c r="A637" s="259"/>
      <c r="B637" s="260" t="s">
        <v>372</v>
      </c>
      <c r="C637" s="261"/>
      <c r="D637" s="262"/>
      <c r="E637" s="263"/>
      <c r="F637" s="264"/>
      <c r="G637" s="265"/>
      <c r="K637" s="31"/>
    </row>
    <row r="638" spans="1:12" ht="36" x14ac:dyDescent="0.2">
      <c r="A638" s="266" t="s">
        <v>164</v>
      </c>
      <c r="B638" s="267" t="s">
        <v>436</v>
      </c>
      <c r="C638" s="268" t="s">
        <v>102</v>
      </c>
      <c r="D638" s="141">
        <v>6</v>
      </c>
      <c r="E638" s="142"/>
      <c r="F638" s="269"/>
      <c r="G638" s="270">
        <f t="shared" ref="G638:G640" si="86">(D638*E638)+(D638*F638)</f>
        <v>0</v>
      </c>
      <c r="H638" s="49"/>
      <c r="I638" s="53">
        <f>0.78*2</f>
        <v>1.56</v>
      </c>
      <c r="J638" s="53">
        <f t="shared" ref="J638" si="87">I638*D638</f>
        <v>9.36</v>
      </c>
      <c r="K638" s="56"/>
      <c r="L638" s="49"/>
    </row>
    <row r="639" spans="1:12" ht="24" x14ac:dyDescent="0.2">
      <c r="A639" s="266" t="s">
        <v>165</v>
      </c>
      <c r="B639" s="267" t="s">
        <v>437</v>
      </c>
      <c r="C639" s="268" t="s">
        <v>102</v>
      </c>
      <c r="D639" s="141">
        <v>1</v>
      </c>
      <c r="E639" s="142"/>
      <c r="F639" s="269"/>
      <c r="G639" s="270">
        <f t="shared" si="86"/>
        <v>0</v>
      </c>
      <c r="H639" s="49"/>
      <c r="I639" s="53"/>
      <c r="J639" s="53"/>
      <c r="K639" s="56"/>
      <c r="L639" s="49"/>
    </row>
    <row r="640" spans="1:12" ht="24" x14ac:dyDescent="0.2">
      <c r="A640" s="266" t="s">
        <v>177</v>
      </c>
      <c r="B640" s="267" t="s">
        <v>392</v>
      </c>
      <c r="C640" s="268" t="s">
        <v>102</v>
      </c>
      <c r="D640" s="141">
        <v>3</v>
      </c>
      <c r="E640" s="142"/>
      <c r="F640" s="269"/>
      <c r="G640" s="270">
        <f t="shared" si="86"/>
        <v>0</v>
      </c>
      <c r="H640" s="49"/>
      <c r="I640" s="53"/>
      <c r="J640" s="53"/>
      <c r="K640" s="56"/>
      <c r="L640" s="49"/>
    </row>
    <row r="641" spans="1:12" x14ac:dyDescent="0.2">
      <c r="A641" s="266"/>
      <c r="B641" s="267"/>
      <c r="C641" s="268"/>
      <c r="D641" s="141"/>
      <c r="E641" s="142"/>
      <c r="F641" s="269"/>
      <c r="G641" s="270"/>
      <c r="H641" s="49"/>
      <c r="I641" s="53"/>
      <c r="J641" s="53"/>
      <c r="K641" s="56"/>
      <c r="L641" s="49"/>
    </row>
    <row r="642" spans="1:12" x14ac:dyDescent="0.2">
      <c r="A642" s="259"/>
      <c r="B642" s="260" t="s">
        <v>371</v>
      </c>
      <c r="C642" s="261"/>
      <c r="D642" s="262"/>
      <c r="E642" s="263"/>
      <c r="F642" s="264"/>
      <c r="G642" s="265"/>
      <c r="I642" s="31"/>
      <c r="J642" s="53">
        <f t="shared" ref="J642" si="88">I642*D642</f>
        <v>0</v>
      </c>
      <c r="K642" s="56"/>
      <c r="L642" s="49"/>
    </row>
    <row r="643" spans="1:12" ht="36" x14ac:dyDescent="0.2">
      <c r="A643" s="266" t="s">
        <v>164</v>
      </c>
      <c r="B643" s="267" t="s">
        <v>393</v>
      </c>
      <c r="C643" s="268" t="s">
        <v>102</v>
      </c>
      <c r="D643" s="141">
        <v>6</v>
      </c>
      <c r="E643" s="142"/>
      <c r="F643" s="269"/>
      <c r="G643" s="270">
        <f t="shared" ref="G643:G645" si="89">(D643*E643)+(D643*F643)</f>
        <v>0</v>
      </c>
      <c r="I643" s="31">
        <f>2.45*1.69</f>
        <v>4.1405000000000003</v>
      </c>
      <c r="J643" s="53">
        <f>D643*I643</f>
        <v>24.843000000000004</v>
      </c>
      <c r="K643" s="48"/>
      <c r="L643" s="48">
        <f>J642+I638</f>
        <v>1.56</v>
      </c>
    </row>
    <row r="644" spans="1:12" ht="36" x14ac:dyDescent="0.2">
      <c r="A644" s="266" t="s">
        <v>165</v>
      </c>
      <c r="B644" s="267" t="s">
        <v>438</v>
      </c>
      <c r="C644" s="268" t="s">
        <v>102</v>
      </c>
      <c r="D644" s="141">
        <v>6</v>
      </c>
      <c r="E644" s="142"/>
      <c r="F644" s="269"/>
      <c r="G644" s="270">
        <f t="shared" si="89"/>
        <v>0</v>
      </c>
      <c r="I644" s="31">
        <f>1.575*2</f>
        <v>3.15</v>
      </c>
      <c r="J644" s="53">
        <f>I644*D644</f>
        <v>18.899999999999999</v>
      </c>
      <c r="K644" s="48"/>
    </row>
    <row r="645" spans="1:12" ht="24" x14ac:dyDescent="0.2">
      <c r="A645" s="266" t="s">
        <v>177</v>
      </c>
      <c r="B645" s="267" t="s">
        <v>479</v>
      </c>
      <c r="C645" s="268" t="s">
        <v>102</v>
      </c>
      <c r="D645" s="141">
        <v>3</v>
      </c>
      <c r="E645" s="142"/>
      <c r="F645" s="269"/>
      <c r="G645" s="270">
        <f t="shared" si="89"/>
        <v>0</v>
      </c>
      <c r="I645" s="31">
        <f>0.7*0.55</f>
        <v>0.38500000000000001</v>
      </c>
      <c r="J645" s="53">
        <f t="shared" ref="J645" si="90">I645*D645</f>
        <v>1.155</v>
      </c>
      <c r="K645" s="48"/>
    </row>
    <row r="646" spans="1:12" x14ac:dyDescent="0.2">
      <c r="A646" s="259"/>
      <c r="B646" s="260" t="s">
        <v>370</v>
      </c>
      <c r="C646" s="261"/>
      <c r="D646" s="262"/>
      <c r="E646" s="263"/>
      <c r="F646" s="264"/>
      <c r="G646" s="265"/>
      <c r="I646" s="31"/>
      <c r="J646" s="53">
        <f>SUM(J638:J645)</f>
        <v>54.258000000000003</v>
      </c>
      <c r="K646" s="48">
        <f>J646-J638</f>
        <v>44.898000000000003</v>
      </c>
      <c r="L646" s="48"/>
    </row>
    <row r="647" spans="1:12" ht="24" x14ac:dyDescent="0.2">
      <c r="A647" s="266" t="s">
        <v>164</v>
      </c>
      <c r="B647" s="267" t="s">
        <v>373</v>
      </c>
      <c r="C647" s="268" t="s">
        <v>102</v>
      </c>
      <c r="D647" s="141">
        <v>3</v>
      </c>
      <c r="E647" s="142"/>
      <c r="F647" s="269"/>
      <c r="G647" s="270">
        <f t="shared" ref="G647:G648" si="91">(D647*E647)+(D647*F647)</f>
        <v>0</v>
      </c>
      <c r="I647" s="31"/>
      <c r="J647" s="53"/>
      <c r="K647" s="31"/>
    </row>
    <row r="648" spans="1:12" ht="24" x14ac:dyDescent="0.2">
      <c r="A648" s="266" t="s">
        <v>165</v>
      </c>
      <c r="B648" s="267" t="s">
        <v>395</v>
      </c>
      <c r="C648" s="268" t="s">
        <v>102</v>
      </c>
      <c r="D648" s="141">
        <v>2</v>
      </c>
      <c r="E648" s="142"/>
      <c r="F648" s="269"/>
      <c r="G648" s="270">
        <f t="shared" si="91"/>
        <v>0</v>
      </c>
      <c r="I648" s="31"/>
      <c r="J648" s="53"/>
      <c r="K648" s="31"/>
    </row>
    <row r="649" spans="1:12" x14ac:dyDescent="0.2">
      <c r="A649" s="266"/>
      <c r="B649" s="267"/>
      <c r="C649" s="147"/>
      <c r="D649" s="141"/>
      <c r="E649" s="142"/>
      <c r="F649" s="143"/>
      <c r="G649" s="144"/>
      <c r="I649" s="48"/>
      <c r="J649" s="31"/>
    </row>
    <row r="650" spans="1:12" ht="12.75" thickBot="1" x14ac:dyDescent="0.25">
      <c r="A650" s="266"/>
      <c r="B650" s="267"/>
      <c r="C650" s="147"/>
      <c r="D650" s="141"/>
      <c r="E650" s="142"/>
      <c r="F650" s="143"/>
      <c r="G650" s="144"/>
      <c r="I650" s="48"/>
      <c r="J650" s="31"/>
    </row>
    <row r="651" spans="1:12" x14ac:dyDescent="0.2">
      <c r="A651" s="280"/>
      <c r="B651" s="115" t="s">
        <v>191</v>
      </c>
      <c r="C651" s="281"/>
      <c r="D651" s="282"/>
      <c r="E651" s="118"/>
      <c r="F651" s="210"/>
      <c r="G651" s="168"/>
    </row>
    <row r="652" spans="1:12" ht="12.75" thickBot="1" x14ac:dyDescent="0.25">
      <c r="A652" s="283"/>
      <c r="B652" s="103" t="s">
        <v>192</v>
      </c>
      <c r="C652" s="284"/>
      <c r="D652" s="285"/>
      <c r="E652" s="123"/>
      <c r="F652" s="211"/>
      <c r="G652" s="169">
        <f>SUM(G601:G651)</f>
        <v>0</v>
      </c>
    </row>
    <row r="653" spans="1:12" x14ac:dyDescent="0.2">
      <c r="A653" s="483"/>
      <c r="B653" s="115"/>
      <c r="C653" s="281"/>
      <c r="D653" s="282"/>
      <c r="E653" s="118"/>
      <c r="F653" s="166"/>
      <c r="G653" s="373"/>
    </row>
    <row r="654" spans="1:12" x14ac:dyDescent="0.2">
      <c r="A654" s="138"/>
      <c r="B654" s="76" t="s">
        <v>193</v>
      </c>
      <c r="C654" s="63"/>
      <c r="D654" s="55"/>
      <c r="E654" s="61"/>
      <c r="F654" s="46"/>
      <c r="G654" s="64"/>
    </row>
    <row r="655" spans="1:12" x14ac:dyDescent="0.2">
      <c r="A655" s="138"/>
      <c r="B655" s="59" t="s">
        <v>163</v>
      </c>
      <c r="C655" s="63"/>
      <c r="D655" s="55"/>
      <c r="E655" s="61"/>
      <c r="F655" s="46"/>
      <c r="G655" s="64"/>
    </row>
    <row r="656" spans="1:12" x14ac:dyDescent="0.2">
      <c r="A656" s="275" t="s">
        <v>100</v>
      </c>
      <c r="B656" s="67" t="s">
        <v>40</v>
      </c>
      <c r="C656" s="63"/>
      <c r="D656" s="55"/>
      <c r="E656" s="61"/>
      <c r="F656" s="46"/>
      <c r="G656" s="64"/>
    </row>
    <row r="657" spans="1:14" ht="49.5" customHeight="1" x14ac:dyDescent="0.2">
      <c r="A657" s="499"/>
      <c r="B657" s="606" t="s">
        <v>262</v>
      </c>
      <c r="C657" s="606"/>
      <c r="D657" s="606"/>
      <c r="E657" s="607"/>
      <c r="F657" s="486"/>
      <c r="G657" s="487"/>
    </row>
    <row r="658" spans="1:14" ht="27" customHeight="1" x14ac:dyDescent="0.2">
      <c r="A658" s="77"/>
      <c r="B658" s="608" t="s">
        <v>106</v>
      </c>
      <c r="C658" s="609"/>
      <c r="D658" s="609"/>
      <c r="E658" s="610"/>
      <c r="F658" s="91"/>
      <c r="G658" s="92"/>
      <c r="I658" s="31"/>
    </row>
    <row r="659" spans="1:14" ht="25.5" customHeight="1" x14ac:dyDescent="0.2">
      <c r="A659" s="58"/>
      <c r="B659" s="611" t="s">
        <v>243</v>
      </c>
      <c r="C659" s="612"/>
      <c r="D659" s="612"/>
      <c r="E659" s="613"/>
      <c r="F659" s="93"/>
      <c r="G659" s="94"/>
    </row>
    <row r="660" spans="1:14" ht="12" customHeight="1" x14ac:dyDescent="0.2">
      <c r="A660" s="459"/>
      <c r="B660" s="488"/>
      <c r="C660" s="489"/>
      <c r="D660" s="489"/>
      <c r="E660" s="490"/>
      <c r="F660" s="489"/>
      <c r="G660" s="491"/>
    </row>
    <row r="661" spans="1:14" x14ac:dyDescent="0.2">
      <c r="A661" s="200" t="s">
        <v>170</v>
      </c>
      <c r="B661" s="291" t="s">
        <v>81</v>
      </c>
      <c r="C661" s="201"/>
      <c r="D661" s="202"/>
      <c r="E661" s="203"/>
      <c r="F661" s="202"/>
      <c r="G661" s="204"/>
    </row>
    <row r="662" spans="1:14" x14ac:dyDescent="0.2">
      <c r="A662" s="271" t="s">
        <v>149</v>
      </c>
      <c r="B662" s="272" t="s">
        <v>306</v>
      </c>
      <c r="C662" s="286"/>
      <c r="D662" s="287"/>
      <c r="E662" s="288"/>
      <c r="F662" s="175"/>
      <c r="G662" s="176"/>
    </row>
    <row r="663" spans="1:14" ht="13.5" x14ac:dyDescent="0.2">
      <c r="A663" s="275"/>
      <c r="B663" s="289" t="s">
        <v>483</v>
      </c>
      <c r="C663" s="290" t="s">
        <v>141</v>
      </c>
      <c r="D663" s="141">
        <v>154.4</v>
      </c>
      <c r="E663" s="142"/>
      <c r="F663" s="143"/>
      <c r="G663" s="144"/>
      <c r="I663" s="48">
        <f>51.46*3</f>
        <v>154.38</v>
      </c>
    </row>
    <row r="664" spans="1:14" x14ac:dyDescent="0.2">
      <c r="A664" s="275"/>
      <c r="B664" s="289"/>
      <c r="C664" s="290"/>
      <c r="D664" s="141"/>
      <c r="E664" s="142"/>
      <c r="F664" s="143"/>
      <c r="G664" s="144"/>
      <c r="I664" s="48"/>
    </row>
    <row r="665" spans="1:14" x14ac:dyDescent="0.2">
      <c r="A665" s="271" t="s">
        <v>150</v>
      </c>
      <c r="B665" s="272" t="s">
        <v>307</v>
      </c>
      <c r="C665" s="286"/>
      <c r="D665" s="287"/>
      <c r="E665" s="288"/>
      <c r="F665" s="175"/>
      <c r="G665" s="176"/>
      <c r="I665" s="48"/>
    </row>
    <row r="666" spans="1:14" ht="13.5" x14ac:dyDescent="0.2">
      <c r="A666" s="275"/>
      <c r="B666" s="289" t="s">
        <v>484</v>
      </c>
      <c r="C666" s="290" t="s">
        <v>141</v>
      </c>
      <c r="D666" s="141">
        <v>9.15</v>
      </c>
      <c r="E666" s="142"/>
      <c r="F666" s="143"/>
      <c r="G666" s="144">
        <f t="shared" ref="G666" si="92">(D666*E666)+(D666*F666)</f>
        <v>0</v>
      </c>
      <c r="I666" s="48"/>
    </row>
    <row r="667" spans="1:14" ht="13.5" x14ac:dyDescent="0.2">
      <c r="A667" s="275"/>
      <c r="B667" s="289" t="s">
        <v>448</v>
      </c>
      <c r="C667" s="290" t="s">
        <v>141</v>
      </c>
      <c r="D667" s="141">
        <v>9.15</v>
      </c>
      <c r="E667" s="142"/>
      <c r="F667" s="143"/>
      <c r="G667" s="144">
        <f t="shared" ref="G667:G669" si="93">(D667*E667)+(D667*F667)</f>
        <v>0</v>
      </c>
      <c r="I667" s="48"/>
    </row>
    <row r="668" spans="1:14" ht="13.5" x14ac:dyDescent="0.2">
      <c r="A668" s="275"/>
      <c r="B668" s="289" t="s">
        <v>485</v>
      </c>
      <c r="C668" s="290" t="s">
        <v>141</v>
      </c>
      <c r="D668" s="141">
        <v>48</v>
      </c>
      <c r="E668" s="142"/>
      <c r="F668" s="143"/>
      <c r="G668" s="144">
        <f t="shared" ref="G668" si="94">(D668*E668)+(D668*F668)</f>
        <v>0</v>
      </c>
      <c r="I668" s="48">
        <f>9.85*1.8</f>
        <v>17.73</v>
      </c>
      <c r="J668" s="22">
        <f>9.55*1.8</f>
        <v>17.190000000000001</v>
      </c>
      <c r="K668" s="48">
        <f>SUM(I668:J668)</f>
        <v>34.92</v>
      </c>
      <c r="L668" s="22">
        <f>1.2*3.215</f>
        <v>3.8579999999999997</v>
      </c>
      <c r="M668" s="22">
        <v>9.15</v>
      </c>
      <c r="N668" s="48">
        <f>SUM(K668:M668)</f>
        <v>47.927999999999997</v>
      </c>
    </row>
    <row r="669" spans="1:14" ht="13.5" x14ac:dyDescent="0.2">
      <c r="A669" s="275"/>
      <c r="B669" s="289" t="s">
        <v>308</v>
      </c>
      <c r="C669" s="290" t="s">
        <v>141</v>
      </c>
      <c r="D669" s="141">
        <v>25</v>
      </c>
      <c r="E669" s="142"/>
      <c r="F669" s="143"/>
      <c r="G669" s="144">
        <f t="shared" si="93"/>
        <v>0</v>
      </c>
      <c r="I669" s="22">
        <f>16.1*0.775*2</f>
        <v>24.955000000000002</v>
      </c>
    </row>
    <row r="670" spans="1:14" x14ac:dyDescent="0.2">
      <c r="A670" s="275"/>
      <c r="B670" s="289"/>
      <c r="C670" s="290"/>
      <c r="D670" s="141"/>
      <c r="E670" s="142"/>
      <c r="F670" s="143"/>
      <c r="G670" s="144"/>
    </row>
    <row r="671" spans="1:14" x14ac:dyDescent="0.2">
      <c r="A671" s="200" t="s">
        <v>327</v>
      </c>
      <c r="B671" s="291" t="s">
        <v>328</v>
      </c>
      <c r="C671" s="201"/>
      <c r="D671" s="202"/>
      <c r="E671" s="203"/>
      <c r="F671" s="202"/>
      <c r="G671" s="204"/>
    </row>
    <row r="672" spans="1:14" ht="36" x14ac:dyDescent="0.2">
      <c r="A672" s="138" t="s">
        <v>164</v>
      </c>
      <c r="B672" s="289" t="s">
        <v>329</v>
      </c>
      <c r="C672" s="290" t="s">
        <v>324</v>
      </c>
      <c r="D672" s="141">
        <v>39</v>
      </c>
      <c r="E672" s="142"/>
      <c r="F672" s="143"/>
      <c r="G672" s="144"/>
      <c r="I672" s="22">
        <f>19.4*2</f>
        <v>38.799999999999997</v>
      </c>
      <c r="L672" s="22">
        <f>241.1*4</f>
        <v>964.4</v>
      </c>
      <c r="M672" s="22">
        <f>L672*10.764</f>
        <v>10380.801599999999</v>
      </c>
      <c r="N672" s="25"/>
    </row>
    <row r="673" spans="1:11" x14ac:dyDescent="0.2">
      <c r="A673" s="275"/>
      <c r="B673" s="289"/>
      <c r="C673" s="290"/>
      <c r="D673" s="141"/>
      <c r="E673" s="142"/>
      <c r="F673" s="143"/>
      <c r="G673" s="144"/>
    </row>
    <row r="674" spans="1:11" x14ac:dyDescent="0.2">
      <c r="A674" s="275"/>
      <c r="B674" s="289"/>
      <c r="C674" s="290"/>
      <c r="D674" s="141"/>
      <c r="E674" s="142"/>
      <c r="F674" s="143"/>
      <c r="G674" s="144"/>
    </row>
    <row r="675" spans="1:11" x14ac:dyDescent="0.2">
      <c r="A675" s="275"/>
      <c r="B675" s="289"/>
      <c r="C675" s="290"/>
      <c r="D675" s="141"/>
      <c r="E675" s="142"/>
      <c r="F675" s="143"/>
      <c r="G675" s="144"/>
    </row>
    <row r="676" spans="1:11" x14ac:dyDescent="0.2">
      <c r="A676" s="275"/>
      <c r="B676" s="289"/>
      <c r="C676" s="290"/>
      <c r="D676" s="141"/>
      <c r="E676" s="142"/>
      <c r="F676" s="143"/>
      <c r="G676" s="144"/>
    </row>
    <row r="677" spans="1:11" x14ac:dyDescent="0.2">
      <c r="A677" s="275"/>
      <c r="B677" s="289"/>
      <c r="C677" s="290"/>
      <c r="D677" s="141"/>
      <c r="E677" s="142"/>
      <c r="F677" s="143"/>
      <c r="G677" s="144"/>
    </row>
    <row r="678" spans="1:11" x14ac:dyDescent="0.2">
      <c r="A678" s="275"/>
      <c r="B678" s="289"/>
      <c r="C678" s="290"/>
      <c r="D678" s="141"/>
      <c r="E678" s="142"/>
      <c r="F678" s="143"/>
      <c r="G678" s="144"/>
    </row>
    <row r="679" spans="1:11" ht="12.75" thickBot="1" x14ac:dyDescent="0.25">
      <c r="A679" s="275"/>
      <c r="B679" s="289"/>
      <c r="C679" s="290"/>
      <c r="D679" s="141"/>
      <c r="E679" s="142"/>
      <c r="F679" s="143"/>
      <c r="G679" s="144"/>
    </row>
    <row r="680" spans="1:11" x14ac:dyDescent="0.2">
      <c r="A680" s="114"/>
      <c r="B680" s="115" t="s">
        <v>194</v>
      </c>
      <c r="C680" s="127"/>
      <c r="D680" s="117"/>
      <c r="E680" s="118"/>
      <c r="F680" s="210"/>
      <c r="G680" s="167"/>
    </row>
    <row r="681" spans="1:11" ht="12.75" thickBot="1" x14ac:dyDescent="0.25">
      <c r="A681" s="120"/>
      <c r="B681" s="103" t="s">
        <v>103</v>
      </c>
      <c r="C681" s="128"/>
      <c r="D681" s="122"/>
      <c r="E681" s="123"/>
      <c r="F681" s="211"/>
      <c r="G681" s="107">
        <f>SUM(G663:G667)</f>
        <v>0</v>
      </c>
    </row>
    <row r="682" spans="1:11" x14ac:dyDescent="0.2">
      <c r="A682" s="247"/>
      <c r="B682" s="66"/>
      <c r="C682" s="63"/>
      <c r="D682" s="55"/>
      <c r="E682" s="61"/>
      <c r="F682" s="497"/>
      <c r="G682" s="72"/>
    </row>
    <row r="683" spans="1:11" x14ac:dyDescent="0.2">
      <c r="A683" s="138"/>
      <c r="B683" s="517" t="s">
        <v>104</v>
      </c>
      <c r="C683" s="63"/>
      <c r="D683" s="55"/>
      <c r="E683" s="61"/>
      <c r="F683" s="497"/>
      <c r="G683" s="144"/>
    </row>
    <row r="684" spans="1:11" x14ac:dyDescent="0.2">
      <c r="A684" s="138"/>
      <c r="B684" s="496" t="s">
        <v>83</v>
      </c>
      <c r="C684" s="63"/>
      <c r="D684" s="55"/>
      <c r="E684" s="61"/>
      <c r="F684" s="497"/>
      <c r="G684" s="144"/>
    </row>
    <row r="685" spans="1:11" x14ac:dyDescent="0.2">
      <c r="A685" s="275" t="s">
        <v>105</v>
      </c>
      <c r="B685" s="498" t="s">
        <v>40</v>
      </c>
      <c r="C685" s="63" t="s">
        <v>52</v>
      </c>
      <c r="D685" s="55"/>
      <c r="E685" s="61"/>
      <c r="F685" s="497"/>
      <c r="G685" s="144"/>
      <c r="I685" s="33"/>
      <c r="J685" s="30">
        <v>80.599999999999994</v>
      </c>
      <c r="K685" s="30"/>
    </row>
    <row r="686" spans="1:11" s="35" customFormat="1" ht="43.5" customHeight="1" x14ac:dyDescent="0.2">
      <c r="A686" s="266"/>
      <c r="B686" s="603" t="s">
        <v>441</v>
      </c>
      <c r="C686" s="603"/>
      <c r="D686" s="603"/>
      <c r="E686" s="603"/>
      <c r="F686" s="603"/>
      <c r="G686" s="492"/>
      <c r="I686" s="33"/>
      <c r="J686" s="41"/>
      <c r="K686" s="30"/>
    </row>
    <row r="687" spans="1:11" s="35" customFormat="1" ht="17.25" customHeight="1" x14ac:dyDescent="0.2">
      <c r="A687" s="266"/>
      <c r="B687" s="603" t="s">
        <v>442</v>
      </c>
      <c r="C687" s="603"/>
      <c r="D687" s="603"/>
      <c r="E687" s="603"/>
      <c r="F687" s="603"/>
      <c r="G687" s="492"/>
      <c r="I687" s="33"/>
      <c r="J687" s="30">
        <v>168.85</v>
      </c>
      <c r="K687" s="30"/>
    </row>
    <row r="688" spans="1:11" s="35" customFormat="1" ht="27.75" customHeight="1" x14ac:dyDescent="0.2">
      <c r="A688" s="266"/>
      <c r="B688" s="603" t="s">
        <v>278</v>
      </c>
      <c r="C688" s="603"/>
      <c r="D688" s="603"/>
      <c r="E688" s="603"/>
      <c r="F688" s="603"/>
      <c r="G688" s="492"/>
      <c r="I688" s="33"/>
      <c r="J688" s="41"/>
      <c r="K688" s="30"/>
    </row>
    <row r="689" spans="1:11" s="35" customFormat="1" ht="39.75" customHeight="1" x14ac:dyDescent="0.2">
      <c r="A689" s="493"/>
      <c r="B689" s="604" t="s">
        <v>157</v>
      </c>
      <c r="C689" s="604"/>
      <c r="D689" s="604"/>
      <c r="E689" s="604"/>
      <c r="F689" s="604"/>
      <c r="G689" s="494"/>
      <c r="I689" s="39"/>
      <c r="J689" s="30">
        <v>139</v>
      </c>
      <c r="K689" s="40"/>
    </row>
    <row r="690" spans="1:11" x14ac:dyDescent="0.2">
      <c r="A690" s="255" t="s">
        <v>149</v>
      </c>
      <c r="B690" s="256" t="s">
        <v>56</v>
      </c>
      <c r="C690" s="257"/>
      <c r="D690" s="258"/>
      <c r="E690" s="235"/>
      <c r="F690" s="170"/>
      <c r="G690" s="171"/>
      <c r="I690" s="30"/>
      <c r="J690" s="40"/>
      <c r="K690" s="30"/>
    </row>
    <row r="691" spans="1:11" ht="24" x14ac:dyDescent="0.2">
      <c r="A691" s="138"/>
      <c r="B691" s="292" t="s">
        <v>110</v>
      </c>
      <c r="C691" s="293" t="s">
        <v>141</v>
      </c>
      <c r="D691" s="141">
        <f>D450</f>
        <v>297.3</v>
      </c>
      <c r="E691" s="142"/>
      <c r="F691" s="143"/>
      <c r="G691" s="144">
        <f t="shared" ref="G691:G693" si="95">(D691*E691)+(D691*F691)</f>
        <v>0</v>
      </c>
      <c r="I691" s="30"/>
      <c r="J691" s="41"/>
      <c r="K691" s="30"/>
    </row>
    <row r="692" spans="1:11" ht="14.25" customHeight="1" x14ac:dyDescent="0.2">
      <c r="A692" s="138"/>
      <c r="B692" s="292" t="s">
        <v>111</v>
      </c>
      <c r="C692" s="293" t="s">
        <v>141</v>
      </c>
      <c r="D692" s="141">
        <f>D452</f>
        <v>419.35</v>
      </c>
      <c r="E692" s="142"/>
      <c r="F692" s="143"/>
      <c r="G692" s="144">
        <f t="shared" si="95"/>
        <v>0</v>
      </c>
      <c r="I692" s="30"/>
      <c r="J692" s="30">
        <v>143.19999999999999</v>
      </c>
      <c r="K692" s="30"/>
    </row>
    <row r="693" spans="1:11" ht="13.5" x14ac:dyDescent="0.2">
      <c r="A693" s="138"/>
      <c r="B693" s="292" t="s">
        <v>112</v>
      </c>
      <c r="C693" s="293" t="s">
        <v>141</v>
      </c>
      <c r="D693" s="141">
        <v>223.35</v>
      </c>
      <c r="E693" s="142"/>
      <c r="F693" s="143"/>
      <c r="G693" s="144">
        <f t="shared" si="95"/>
        <v>0</v>
      </c>
      <c r="I693" s="30">
        <f>D500+D501+D502+D503+D504</f>
        <v>223.35</v>
      </c>
      <c r="J693" s="41" t="e">
        <f>I693-#REF!</f>
        <v>#REF!</v>
      </c>
      <c r="K693" s="30" t="e">
        <f>J693+154.1</f>
        <v>#REF!</v>
      </c>
    </row>
    <row r="694" spans="1:11" x14ac:dyDescent="0.2">
      <c r="A694" s="138"/>
      <c r="B694" s="292"/>
      <c r="C694" s="293"/>
      <c r="D694" s="141"/>
      <c r="E694" s="142"/>
      <c r="F694" s="143"/>
      <c r="G694" s="144"/>
      <c r="I694" s="40"/>
      <c r="J694" s="30"/>
      <c r="K694" s="30"/>
    </row>
    <row r="695" spans="1:11" x14ac:dyDescent="0.2">
      <c r="A695" s="271" t="s">
        <v>150</v>
      </c>
      <c r="B695" s="272" t="s">
        <v>58</v>
      </c>
      <c r="C695" s="273"/>
      <c r="D695" s="274"/>
      <c r="E695" s="237"/>
      <c r="F695" s="175"/>
      <c r="G695" s="176"/>
      <c r="I695" s="30"/>
      <c r="J695" s="40"/>
      <c r="K695" s="30"/>
    </row>
    <row r="696" spans="1:11" ht="24" x14ac:dyDescent="0.2">
      <c r="A696" s="138"/>
      <c r="B696" s="292" t="s">
        <v>110</v>
      </c>
      <c r="C696" s="293" t="s">
        <v>141</v>
      </c>
      <c r="D696" s="141">
        <v>282.62</v>
      </c>
      <c r="E696" s="142"/>
      <c r="F696" s="143"/>
      <c r="G696" s="144">
        <f t="shared" ref="G696:G698" si="96">(D696*E696)+(D696*F696)</f>
        <v>0</v>
      </c>
      <c r="I696" s="30"/>
      <c r="J696" s="41"/>
      <c r="K696" s="30"/>
    </row>
    <row r="697" spans="1:11" ht="13.5" customHeight="1" x14ac:dyDescent="0.2">
      <c r="A697" s="138"/>
      <c r="B697" s="292" t="s">
        <v>111</v>
      </c>
      <c r="C697" s="293" t="s">
        <v>141</v>
      </c>
      <c r="D697" s="141">
        <v>409.7</v>
      </c>
      <c r="E697" s="142"/>
      <c r="F697" s="143"/>
      <c r="G697" s="144">
        <f t="shared" si="96"/>
        <v>0</v>
      </c>
      <c r="I697" s="30"/>
      <c r="J697" s="30">
        <v>143.19999999999999</v>
      </c>
      <c r="K697" s="30"/>
    </row>
    <row r="698" spans="1:11" ht="13.5" x14ac:dyDescent="0.2">
      <c r="A698" s="138"/>
      <c r="B698" s="292" t="s">
        <v>112</v>
      </c>
      <c r="C698" s="293" t="s">
        <v>141</v>
      </c>
      <c r="D698" s="141">
        <v>223.35</v>
      </c>
      <c r="E698" s="142"/>
      <c r="F698" s="143"/>
      <c r="G698" s="144">
        <f t="shared" si="96"/>
        <v>0</v>
      </c>
      <c r="I698" s="48" t="e">
        <f>D501+#REF!+D502+12.5</f>
        <v>#REF!</v>
      </c>
      <c r="J698" s="41" t="e">
        <f>#REF!</f>
        <v>#REF!</v>
      </c>
      <c r="K698" s="30"/>
    </row>
    <row r="699" spans="1:11" x14ac:dyDescent="0.2">
      <c r="A699" s="138"/>
      <c r="B699" s="292"/>
      <c r="C699" s="293"/>
      <c r="D699" s="141"/>
      <c r="E699" s="142"/>
      <c r="F699" s="143"/>
      <c r="G699" s="144"/>
      <c r="I699" s="48"/>
      <c r="J699" s="41"/>
      <c r="K699" s="57"/>
    </row>
    <row r="700" spans="1:11" x14ac:dyDescent="0.2">
      <c r="A700" s="271" t="s">
        <v>50</v>
      </c>
      <c r="B700" s="272" t="s">
        <v>415</v>
      </c>
      <c r="C700" s="273"/>
      <c r="D700" s="274"/>
      <c r="E700" s="237"/>
      <c r="F700" s="175"/>
      <c r="G700" s="176"/>
      <c r="I700" s="48"/>
      <c r="J700" s="41"/>
      <c r="K700" s="57"/>
    </row>
    <row r="701" spans="1:11" ht="24" x14ac:dyDescent="0.2">
      <c r="A701" s="138"/>
      <c r="B701" s="292" t="s">
        <v>110</v>
      </c>
      <c r="C701" s="293" t="s">
        <v>141</v>
      </c>
      <c r="D701" s="141">
        <v>282.62</v>
      </c>
      <c r="E701" s="142"/>
      <c r="F701" s="143"/>
      <c r="G701" s="144">
        <f t="shared" ref="G701:G703" si="97">(D701*E701)+(D701*F701)</f>
        <v>0</v>
      </c>
      <c r="I701" s="48"/>
      <c r="J701" s="41"/>
      <c r="K701" s="57"/>
    </row>
    <row r="702" spans="1:11" ht="13.5" x14ac:dyDescent="0.2">
      <c r="A702" s="138"/>
      <c r="B702" s="292" t="s">
        <v>111</v>
      </c>
      <c r="C702" s="293" t="s">
        <v>141</v>
      </c>
      <c r="D702" s="141">
        <v>429.5</v>
      </c>
      <c r="E702" s="142"/>
      <c r="F702" s="143"/>
      <c r="G702" s="144">
        <f t="shared" si="97"/>
        <v>0</v>
      </c>
      <c r="I702" s="48"/>
      <c r="J702" s="41"/>
      <c r="K702" s="57"/>
    </row>
    <row r="703" spans="1:11" ht="13.5" x14ac:dyDescent="0.2">
      <c r="A703" s="138"/>
      <c r="B703" s="292" t="s">
        <v>112</v>
      </c>
      <c r="C703" s="293" t="s">
        <v>141</v>
      </c>
      <c r="D703" s="141">
        <v>102.3</v>
      </c>
      <c r="E703" s="142"/>
      <c r="F703" s="143"/>
      <c r="G703" s="144">
        <f t="shared" si="97"/>
        <v>0</v>
      </c>
      <c r="I703" s="48">
        <f>D698-154.4</f>
        <v>68.949999999999989</v>
      </c>
      <c r="J703" s="41">
        <f>I703+33.35</f>
        <v>102.29999999999998</v>
      </c>
      <c r="K703" s="57"/>
    </row>
    <row r="704" spans="1:11" x14ac:dyDescent="0.2">
      <c r="A704" s="138"/>
      <c r="B704" s="292"/>
      <c r="C704" s="293"/>
      <c r="D704" s="141"/>
      <c r="E704" s="142"/>
      <c r="F704" s="143"/>
      <c r="G704" s="144"/>
      <c r="I704" s="48"/>
      <c r="J704" s="41"/>
      <c r="K704" s="57"/>
    </row>
    <row r="705" spans="1:10" x14ac:dyDescent="0.2">
      <c r="A705" s="271" t="s">
        <v>151</v>
      </c>
      <c r="B705" s="272" t="s">
        <v>271</v>
      </c>
      <c r="C705" s="273"/>
      <c r="D705" s="274"/>
      <c r="E705" s="237"/>
      <c r="F705" s="175"/>
      <c r="G705" s="176"/>
      <c r="J705" s="30"/>
    </row>
    <row r="706" spans="1:10" ht="24" x14ac:dyDescent="0.2">
      <c r="A706" s="138"/>
      <c r="B706" s="292" t="s">
        <v>110</v>
      </c>
      <c r="C706" s="293" t="s">
        <v>141</v>
      </c>
      <c r="D706" s="141">
        <f>D468</f>
        <v>24.6</v>
      </c>
      <c r="E706" s="142"/>
      <c r="F706" s="143"/>
      <c r="G706" s="144">
        <f t="shared" ref="G706:G708" si="98">(D706*E706)+(D706*F706)</f>
        <v>0</v>
      </c>
      <c r="J706" s="30"/>
    </row>
    <row r="707" spans="1:10" ht="13.5" x14ac:dyDescent="0.2">
      <c r="A707" s="138"/>
      <c r="B707" s="292" t="s">
        <v>111</v>
      </c>
      <c r="C707" s="293" t="s">
        <v>141</v>
      </c>
      <c r="D707" s="141">
        <f>D470</f>
        <v>24.6</v>
      </c>
      <c r="E707" s="142"/>
      <c r="F707" s="143"/>
      <c r="G707" s="144">
        <f t="shared" si="98"/>
        <v>0</v>
      </c>
      <c r="J707" s="30"/>
    </row>
    <row r="708" spans="1:10" ht="13.5" x14ac:dyDescent="0.2">
      <c r="A708" s="138"/>
      <c r="B708" s="292" t="s">
        <v>310</v>
      </c>
      <c r="C708" s="293" t="s">
        <v>141</v>
      </c>
      <c r="D708" s="141">
        <f>D669</f>
        <v>25</v>
      </c>
      <c r="E708" s="142"/>
      <c r="F708" s="143"/>
      <c r="G708" s="144">
        <f t="shared" si="98"/>
        <v>0</v>
      </c>
      <c r="J708" s="30"/>
    </row>
    <row r="709" spans="1:10" ht="12.75" thickBot="1" x14ac:dyDescent="0.25">
      <c r="A709" s="138"/>
      <c r="B709" s="292"/>
      <c r="C709" s="293"/>
      <c r="D709" s="141"/>
      <c r="E709" s="142"/>
      <c r="F709" s="143"/>
      <c r="G709" s="144"/>
      <c r="J709" s="57"/>
    </row>
    <row r="710" spans="1:10" x14ac:dyDescent="0.2">
      <c r="A710" s="114"/>
      <c r="B710" s="115" t="s">
        <v>195</v>
      </c>
      <c r="C710" s="127"/>
      <c r="D710" s="117"/>
      <c r="E710" s="118"/>
      <c r="F710" s="210"/>
      <c r="G710" s="168"/>
    </row>
    <row r="711" spans="1:10" ht="12.75" thickBot="1" x14ac:dyDescent="0.25">
      <c r="A711" s="120"/>
      <c r="B711" s="103" t="s">
        <v>107</v>
      </c>
      <c r="C711" s="128"/>
      <c r="D711" s="122"/>
      <c r="E711" s="123"/>
      <c r="F711" s="211"/>
      <c r="G711" s="169">
        <f>SUM(G691:G698)</f>
        <v>0</v>
      </c>
    </row>
    <row r="712" spans="1:10" x14ac:dyDescent="0.2">
      <c r="A712" s="247"/>
      <c r="B712" s="507"/>
      <c r="C712" s="127"/>
      <c r="D712" s="117"/>
      <c r="E712" s="118"/>
      <c r="F712" s="210"/>
      <c r="G712" s="540"/>
    </row>
    <row r="713" spans="1:10" x14ac:dyDescent="0.2">
      <c r="A713" s="138"/>
      <c r="B713" s="517" t="s">
        <v>108</v>
      </c>
      <c r="C713" s="63"/>
      <c r="D713" s="55"/>
      <c r="E713" s="61"/>
      <c r="F713" s="497"/>
      <c r="G713" s="144"/>
    </row>
    <row r="714" spans="1:10" x14ac:dyDescent="0.2">
      <c r="A714" s="138"/>
      <c r="B714" s="496" t="s">
        <v>85</v>
      </c>
      <c r="C714" s="63"/>
      <c r="D714" s="55"/>
      <c r="E714" s="61"/>
      <c r="F714" s="497"/>
      <c r="G714" s="144"/>
    </row>
    <row r="715" spans="1:10" x14ac:dyDescent="0.2">
      <c r="A715" s="275" t="s">
        <v>109</v>
      </c>
      <c r="B715" s="498" t="s">
        <v>40</v>
      </c>
      <c r="C715" s="63"/>
      <c r="D715" s="55"/>
      <c r="E715" s="61"/>
      <c r="F715" s="497"/>
      <c r="G715" s="144"/>
    </row>
    <row r="716" spans="1:10" s="35" customFormat="1" ht="24.75" customHeight="1" x14ac:dyDescent="0.25">
      <c r="A716" s="493"/>
      <c r="B716" s="617" t="s">
        <v>138</v>
      </c>
      <c r="C716" s="618"/>
      <c r="D716" s="618"/>
      <c r="E716" s="618"/>
      <c r="F716" s="619"/>
      <c r="G716" s="541"/>
    </row>
    <row r="717" spans="1:10" x14ac:dyDescent="0.2">
      <c r="A717" s="294" t="s">
        <v>171</v>
      </c>
      <c r="B717" s="295" t="s">
        <v>116</v>
      </c>
      <c r="C717" s="296"/>
      <c r="D717" s="297"/>
      <c r="E717" s="298"/>
      <c r="F717" s="297"/>
      <c r="G717" s="299"/>
    </row>
    <row r="718" spans="1:10" x14ac:dyDescent="0.2">
      <c r="A718" s="271" t="s">
        <v>149</v>
      </c>
      <c r="B718" s="300" t="s">
        <v>56</v>
      </c>
      <c r="C718" s="301"/>
      <c r="D718" s="274"/>
      <c r="E718" s="237"/>
      <c r="F718" s="274"/>
      <c r="G718" s="302"/>
    </row>
    <row r="719" spans="1:10" x14ac:dyDescent="0.2">
      <c r="A719" s="303" t="s">
        <v>164</v>
      </c>
      <c r="B719" s="304" t="s">
        <v>265</v>
      </c>
      <c r="C719" s="305" t="s">
        <v>102</v>
      </c>
      <c r="D719" s="306"/>
      <c r="E719" s="307"/>
      <c r="F719" s="154"/>
      <c r="G719" s="155"/>
    </row>
    <row r="720" spans="1:10" ht="39.75" customHeight="1" x14ac:dyDescent="0.2">
      <c r="A720" s="275" t="s">
        <v>186</v>
      </c>
      <c r="B720" s="267" t="s">
        <v>440</v>
      </c>
      <c r="C720" s="268" t="s">
        <v>117</v>
      </c>
      <c r="D720" s="141">
        <v>7.4</v>
      </c>
      <c r="E720" s="142"/>
      <c r="F720" s="143"/>
      <c r="G720" s="144">
        <f>(D720*E720)+(D720*F720)</f>
        <v>0</v>
      </c>
    </row>
    <row r="721" spans="1:9" ht="36" customHeight="1" x14ac:dyDescent="0.2">
      <c r="A721" s="275" t="s">
        <v>187</v>
      </c>
      <c r="B721" s="267" t="s">
        <v>344</v>
      </c>
      <c r="C721" s="268" t="s">
        <v>117</v>
      </c>
      <c r="D721" s="141">
        <v>6</v>
      </c>
      <c r="E721" s="142"/>
      <c r="F721" s="143"/>
      <c r="G721" s="144">
        <f>(D721*E721)+(D721*F721)</f>
        <v>0</v>
      </c>
      <c r="I721" s="22">
        <f>3.6*4</f>
        <v>14.4</v>
      </c>
    </row>
    <row r="722" spans="1:9" ht="12" customHeight="1" x14ac:dyDescent="0.2">
      <c r="A722" s="275"/>
      <c r="B722" s="267"/>
      <c r="C722" s="268"/>
      <c r="D722" s="141"/>
      <c r="E722" s="142"/>
      <c r="F722" s="143"/>
      <c r="G722" s="144"/>
    </row>
    <row r="723" spans="1:9" x14ac:dyDescent="0.2">
      <c r="A723" s="271" t="s">
        <v>150</v>
      </c>
      <c r="B723" s="300" t="s">
        <v>58</v>
      </c>
      <c r="C723" s="301"/>
      <c r="D723" s="274"/>
      <c r="E723" s="237"/>
      <c r="F723" s="274"/>
      <c r="G723" s="302"/>
    </row>
    <row r="724" spans="1:9" x14ac:dyDescent="0.2">
      <c r="A724" s="303" t="s">
        <v>164</v>
      </c>
      <c r="B724" s="304" t="s">
        <v>265</v>
      </c>
      <c r="C724" s="305" t="s">
        <v>102</v>
      </c>
      <c r="D724" s="306"/>
      <c r="E724" s="307"/>
      <c r="F724" s="154"/>
      <c r="G724" s="155"/>
    </row>
    <row r="725" spans="1:9" ht="36" x14ac:dyDescent="0.2">
      <c r="A725" s="275" t="s">
        <v>186</v>
      </c>
      <c r="B725" s="267" t="s">
        <v>440</v>
      </c>
      <c r="C725" s="268" t="s">
        <v>117</v>
      </c>
      <c r="D725" s="141">
        <v>7.4</v>
      </c>
      <c r="E725" s="142"/>
      <c r="F725" s="143"/>
      <c r="G725" s="144">
        <f>(D725*E725)+(D725*F725)</f>
        <v>0</v>
      </c>
    </row>
    <row r="726" spans="1:9" ht="36" x14ac:dyDescent="0.2">
      <c r="A726" s="275" t="s">
        <v>187</v>
      </c>
      <c r="B726" s="267" t="s">
        <v>344</v>
      </c>
      <c r="C726" s="268" t="s">
        <v>117</v>
      </c>
      <c r="D726" s="141">
        <v>6</v>
      </c>
      <c r="E726" s="142"/>
      <c r="F726" s="143"/>
      <c r="G726" s="144">
        <f>(D726*E726)+(D726*F726)</f>
        <v>0</v>
      </c>
      <c r="I726" s="22">
        <f>3.6*4</f>
        <v>14.4</v>
      </c>
    </row>
    <row r="727" spans="1:9" x14ac:dyDescent="0.2">
      <c r="A727" s="275"/>
      <c r="B727" s="267"/>
      <c r="C727" s="268"/>
      <c r="D727" s="141"/>
      <c r="E727" s="142"/>
      <c r="F727" s="143"/>
      <c r="G727" s="144"/>
    </row>
    <row r="728" spans="1:9" x14ac:dyDescent="0.2">
      <c r="A728" s="275"/>
      <c r="B728" s="267"/>
      <c r="C728" s="268"/>
      <c r="D728" s="141"/>
      <c r="E728" s="142"/>
      <c r="F728" s="143"/>
      <c r="G728" s="144"/>
    </row>
    <row r="729" spans="1:9" x14ac:dyDescent="0.2">
      <c r="A729" s="275"/>
      <c r="B729" s="267"/>
      <c r="C729" s="268"/>
      <c r="D729" s="141"/>
      <c r="E729" s="142"/>
      <c r="F729" s="143"/>
      <c r="G729" s="144"/>
    </row>
    <row r="730" spans="1:9" s="574" customFormat="1" x14ac:dyDescent="0.2">
      <c r="A730" s="500"/>
      <c r="B730" s="569"/>
      <c r="C730" s="570"/>
      <c r="D730" s="571"/>
      <c r="E730" s="470"/>
      <c r="F730" s="471"/>
      <c r="G730" s="472"/>
    </row>
    <row r="731" spans="1:9" x14ac:dyDescent="0.2">
      <c r="A731" s="275"/>
      <c r="B731" s="267"/>
      <c r="C731" s="268"/>
      <c r="D731" s="141"/>
      <c r="E731" s="142"/>
      <c r="F731" s="143"/>
      <c r="G731" s="144"/>
    </row>
    <row r="732" spans="1:9" ht="11.25" customHeight="1" x14ac:dyDescent="0.2">
      <c r="A732" s="303" t="s">
        <v>165</v>
      </c>
      <c r="B732" s="304" t="s">
        <v>309</v>
      </c>
      <c r="C732" s="305" t="s">
        <v>102</v>
      </c>
      <c r="D732" s="306"/>
      <c r="E732" s="307"/>
      <c r="F732" s="154"/>
      <c r="G732" s="155"/>
    </row>
    <row r="733" spans="1:9" ht="25.5" customHeight="1" x14ac:dyDescent="0.2">
      <c r="A733" s="275"/>
      <c r="B733" s="267" t="s">
        <v>457</v>
      </c>
      <c r="C733" s="268" t="s">
        <v>117</v>
      </c>
      <c r="D733" s="141">
        <v>17.600000000000001</v>
      </c>
      <c r="E733" s="142"/>
      <c r="F733" s="143"/>
      <c r="G733" s="144">
        <f>(D733*E733)+(D733*F733)</f>
        <v>0</v>
      </c>
      <c r="I733" s="22">
        <f>7.55+1.8+1.95+2</f>
        <v>13.299999999999999</v>
      </c>
    </row>
    <row r="734" spans="1:9" ht="12" customHeight="1" x14ac:dyDescent="0.2">
      <c r="A734" s="271" t="s">
        <v>151</v>
      </c>
      <c r="B734" s="300" t="s">
        <v>415</v>
      </c>
      <c r="C734" s="301"/>
      <c r="D734" s="274"/>
      <c r="E734" s="237"/>
      <c r="F734" s="274"/>
      <c r="G734" s="302"/>
    </row>
    <row r="735" spans="1:9" ht="12" customHeight="1" x14ac:dyDescent="0.2">
      <c r="A735" s="303" t="s">
        <v>164</v>
      </c>
      <c r="B735" s="304" t="s">
        <v>309</v>
      </c>
      <c r="C735" s="305" t="s">
        <v>102</v>
      </c>
      <c r="D735" s="306"/>
      <c r="E735" s="307"/>
      <c r="F735" s="154"/>
      <c r="G735" s="155"/>
    </row>
    <row r="736" spans="1:9" ht="29.25" customHeight="1" x14ac:dyDescent="0.2">
      <c r="A736" s="275"/>
      <c r="B736" s="267" t="s">
        <v>457</v>
      </c>
      <c r="C736" s="268" t="s">
        <v>117</v>
      </c>
      <c r="D736" s="141">
        <v>17.600000000000001</v>
      </c>
      <c r="E736" s="142"/>
      <c r="F736" s="143"/>
      <c r="G736" s="144">
        <f>(D736*E736)+(D736*F736)</f>
        <v>0</v>
      </c>
    </row>
    <row r="737" spans="1:10" ht="12" customHeight="1" x14ac:dyDescent="0.2">
      <c r="A737" s="275"/>
      <c r="B737" s="267"/>
      <c r="C737" s="268"/>
      <c r="D737" s="141"/>
      <c r="E737" s="142"/>
      <c r="F737" s="143"/>
      <c r="G737" s="144"/>
    </row>
    <row r="738" spans="1:10" x14ac:dyDescent="0.2">
      <c r="A738" s="200" t="s">
        <v>171</v>
      </c>
      <c r="B738" s="308" t="s">
        <v>312</v>
      </c>
      <c r="C738" s="201"/>
      <c r="D738" s="202"/>
      <c r="E738" s="203"/>
      <c r="F738" s="202"/>
      <c r="G738" s="204"/>
    </row>
    <row r="739" spans="1:10" ht="48" customHeight="1" x14ac:dyDescent="0.2">
      <c r="A739" s="138" t="s">
        <v>164</v>
      </c>
      <c r="B739" s="267" t="s">
        <v>449</v>
      </c>
      <c r="C739" s="268"/>
      <c r="D739" s="141"/>
      <c r="E739" s="142"/>
      <c r="F739" s="143"/>
      <c r="G739" s="144">
        <f t="shared" ref="G739:G742" si="99">(D739*E739)+(D739*F739)</f>
        <v>0</v>
      </c>
    </row>
    <row r="740" spans="1:10" x14ac:dyDescent="0.2">
      <c r="A740" s="275"/>
      <c r="B740" s="267" t="s">
        <v>311</v>
      </c>
      <c r="C740" s="268" t="s">
        <v>102</v>
      </c>
      <c r="D740" s="141">
        <v>14</v>
      </c>
      <c r="E740" s="142"/>
      <c r="F740" s="143"/>
      <c r="G740" s="144">
        <f t="shared" si="99"/>
        <v>0</v>
      </c>
    </row>
    <row r="741" spans="1:10" ht="36" x14ac:dyDescent="0.2">
      <c r="A741" s="138" t="s">
        <v>165</v>
      </c>
      <c r="B741" s="267" t="s">
        <v>330</v>
      </c>
      <c r="C741" s="268" t="s">
        <v>313</v>
      </c>
      <c r="D741" s="141">
        <v>19.399999999999999</v>
      </c>
      <c r="E741" s="142"/>
      <c r="F741" s="143"/>
      <c r="G741" s="144">
        <f t="shared" si="99"/>
        <v>0</v>
      </c>
    </row>
    <row r="742" spans="1:10" ht="24" x14ac:dyDescent="0.2">
      <c r="A742" s="138" t="s">
        <v>314</v>
      </c>
      <c r="B742" s="267" t="s">
        <v>322</v>
      </c>
      <c r="C742" s="268" t="s">
        <v>313</v>
      </c>
      <c r="D742" s="141">
        <v>326</v>
      </c>
      <c r="E742" s="142"/>
      <c r="F742" s="143"/>
      <c r="G742" s="144">
        <f t="shared" si="99"/>
        <v>0</v>
      </c>
      <c r="I742" s="22">
        <f>19.4*8*2</f>
        <v>310.39999999999998</v>
      </c>
      <c r="J742" s="22">
        <f>I742*105%</f>
        <v>325.92</v>
      </c>
    </row>
    <row r="743" spans="1:10" ht="24" x14ac:dyDescent="0.2">
      <c r="A743" s="138" t="s">
        <v>315</v>
      </c>
      <c r="B743" s="267" t="s">
        <v>321</v>
      </c>
      <c r="C743" s="293" t="s">
        <v>141</v>
      </c>
      <c r="D743" s="141">
        <v>249.3</v>
      </c>
      <c r="E743" s="142"/>
      <c r="F743" s="143"/>
      <c r="G743" s="144">
        <f t="shared" ref="G743" si="100">(D743*E743)+(D743*F743)</f>
        <v>0</v>
      </c>
      <c r="I743" s="22">
        <f>19.4*12.85</f>
        <v>249.28999999999996</v>
      </c>
    </row>
    <row r="744" spans="1:10" ht="24" x14ac:dyDescent="0.2">
      <c r="A744" s="138" t="s">
        <v>317</v>
      </c>
      <c r="B744" s="267" t="s">
        <v>316</v>
      </c>
      <c r="C744" s="293" t="s">
        <v>141</v>
      </c>
      <c r="D744" s="141">
        <f>D743</f>
        <v>249.3</v>
      </c>
      <c r="E744" s="142"/>
      <c r="F744" s="143"/>
      <c r="G744" s="144">
        <f t="shared" ref="G744" si="101">(D744*E744)+(D744*F744)</f>
        <v>0</v>
      </c>
    </row>
    <row r="745" spans="1:10" ht="24" x14ac:dyDescent="0.2">
      <c r="A745" s="138" t="s">
        <v>318</v>
      </c>
      <c r="B745" s="267" t="s">
        <v>319</v>
      </c>
      <c r="C745" s="293" t="s">
        <v>141</v>
      </c>
      <c r="D745" s="141">
        <f>D743</f>
        <v>249.3</v>
      </c>
      <c r="E745" s="142"/>
      <c r="F745" s="143"/>
      <c r="G745" s="144">
        <f t="shared" ref="G745" si="102">(D745*E745)+(D745*F745)</f>
        <v>0</v>
      </c>
    </row>
    <row r="746" spans="1:10" ht="24" x14ac:dyDescent="0.2">
      <c r="A746" s="138" t="s">
        <v>320</v>
      </c>
      <c r="B746" s="267" t="s">
        <v>323</v>
      </c>
      <c r="C746" s="293" t="s">
        <v>324</v>
      </c>
      <c r="D746" s="141">
        <v>20</v>
      </c>
      <c r="E746" s="142"/>
      <c r="F746" s="143"/>
      <c r="G746" s="144">
        <f t="shared" ref="G746" si="103">(D746*E746)+(D746*F746)</f>
        <v>0</v>
      </c>
    </row>
    <row r="747" spans="1:10" ht="24" x14ac:dyDescent="0.2">
      <c r="A747" s="138" t="s">
        <v>182</v>
      </c>
      <c r="B747" s="267" t="s">
        <v>325</v>
      </c>
      <c r="C747" s="293" t="s">
        <v>324</v>
      </c>
      <c r="D747" s="141">
        <v>27</v>
      </c>
      <c r="E747" s="142"/>
      <c r="F747" s="143"/>
      <c r="G747" s="144">
        <f t="shared" ref="G747" si="104">(D747*E747)+(D747*F747)</f>
        <v>0</v>
      </c>
      <c r="I747" s="22">
        <f>6.7*4</f>
        <v>26.8</v>
      </c>
    </row>
    <row r="748" spans="1:10" ht="24" x14ac:dyDescent="0.2">
      <c r="A748" s="138" t="s">
        <v>183</v>
      </c>
      <c r="B748" s="267" t="s">
        <v>326</v>
      </c>
      <c r="C748" s="293" t="s">
        <v>324</v>
      </c>
      <c r="D748" s="141">
        <v>39.6</v>
      </c>
      <c r="E748" s="142"/>
      <c r="F748" s="143"/>
      <c r="G748" s="144">
        <f t="shared" ref="G748" si="105">(D748*E748)+(D748*F748)</f>
        <v>0</v>
      </c>
      <c r="I748" s="22">
        <f>19.8*2</f>
        <v>39.6</v>
      </c>
    </row>
    <row r="749" spans="1:10" x14ac:dyDescent="0.2">
      <c r="A749" s="138"/>
      <c r="B749" s="267"/>
      <c r="C749" s="293"/>
      <c r="D749" s="141"/>
      <c r="E749" s="142"/>
      <c r="F749" s="143"/>
      <c r="G749" s="144"/>
    </row>
    <row r="750" spans="1:10" x14ac:dyDescent="0.2">
      <c r="A750" s="138"/>
      <c r="B750" s="267"/>
      <c r="C750" s="293"/>
      <c r="D750" s="141"/>
      <c r="E750" s="142"/>
      <c r="F750" s="143"/>
      <c r="G750" s="144"/>
    </row>
    <row r="751" spans="1:10" x14ac:dyDescent="0.2">
      <c r="A751" s="138"/>
      <c r="B751" s="267"/>
      <c r="C751" s="293"/>
      <c r="D751" s="141"/>
      <c r="E751" s="142"/>
      <c r="F751" s="143"/>
      <c r="G751" s="144"/>
    </row>
    <row r="752" spans="1:10" x14ac:dyDescent="0.2">
      <c r="A752" s="138"/>
      <c r="B752" s="267"/>
      <c r="C752" s="293"/>
      <c r="D752" s="141"/>
      <c r="E752" s="142"/>
      <c r="F752" s="143"/>
      <c r="G752" s="144"/>
    </row>
    <row r="753" spans="1:7" x14ac:dyDescent="0.2">
      <c r="A753" s="138"/>
      <c r="B753" s="267"/>
      <c r="C753" s="293"/>
      <c r="D753" s="141"/>
      <c r="E753" s="142"/>
      <c r="F753" s="143"/>
      <c r="G753" s="144"/>
    </row>
    <row r="754" spans="1:7" x14ac:dyDescent="0.2">
      <c r="A754" s="138"/>
      <c r="B754" s="267"/>
      <c r="C754" s="293"/>
      <c r="D754" s="141"/>
      <c r="E754" s="142"/>
      <c r="F754" s="143"/>
      <c r="G754" s="144"/>
    </row>
    <row r="755" spans="1:7" x14ac:dyDescent="0.2">
      <c r="A755" s="138"/>
      <c r="B755" s="267"/>
      <c r="C755" s="293"/>
      <c r="D755" s="141"/>
      <c r="E755" s="142"/>
      <c r="F755" s="143"/>
      <c r="G755" s="144"/>
    </row>
    <row r="756" spans="1:7" x14ac:dyDescent="0.2">
      <c r="A756" s="138"/>
      <c r="B756" s="267"/>
      <c r="C756" s="293"/>
      <c r="D756" s="141"/>
      <c r="E756" s="142"/>
      <c r="F756" s="143"/>
      <c r="G756" s="144"/>
    </row>
    <row r="757" spans="1:7" x14ac:dyDescent="0.2">
      <c r="A757" s="138"/>
      <c r="B757" s="267"/>
      <c r="C757" s="293"/>
      <c r="D757" s="141"/>
      <c r="E757" s="142"/>
      <c r="F757" s="143"/>
      <c r="G757" s="144"/>
    </row>
    <row r="758" spans="1:7" x14ac:dyDescent="0.2">
      <c r="A758" s="138"/>
      <c r="B758" s="267"/>
      <c r="C758" s="293"/>
      <c r="D758" s="141"/>
      <c r="E758" s="142"/>
      <c r="F758" s="143"/>
      <c r="G758" s="144"/>
    </row>
    <row r="759" spans="1:7" x14ac:dyDescent="0.2">
      <c r="A759" s="138"/>
      <c r="B759" s="267"/>
      <c r="C759" s="293"/>
      <c r="D759" s="141"/>
      <c r="E759" s="142"/>
      <c r="F759" s="143"/>
      <c r="G759" s="144"/>
    </row>
    <row r="760" spans="1:7" x14ac:dyDescent="0.2">
      <c r="A760" s="138"/>
      <c r="B760" s="267"/>
      <c r="C760" s="293"/>
      <c r="D760" s="141"/>
      <c r="E760" s="142"/>
      <c r="F760" s="143"/>
      <c r="G760" s="144"/>
    </row>
    <row r="761" spans="1:7" x14ac:dyDescent="0.2">
      <c r="A761" s="138"/>
      <c r="B761" s="267"/>
      <c r="C761" s="293"/>
      <c r="D761" s="141"/>
      <c r="E761" s="142"/>
      <c r="F761" s="143"/>
      <c r="G761" s="144"/>
    </row>
    <row r="762" spans="1:7" x14ac:dyDescent="0.2">
      <c r="A762" s="138"/>
      <c r="B762" s="267"/>
      <c r="C762" s="293"/>
      <c r="D762" s="141"/>
      <c r="E762" s="142"/>
      <c r="F762" s="143"/>
      <c r="G762" s="144"/>
    </row>
    <row r="763" spans="1:7" x14ac:dyDescent="0.2">
      <c r="A763" s="138"/>
      <c r="B763" s="267"/>
      <c r="C763" s="293"/>
      <c r="D763" s="141"/>
      <c r="E763" s="142"/>
      <c r="F763" s="143"/>
      <c r="G763" s="144"/>
    </row>
    <row r="764" spans="1:7" x14ac:dyDescent="0.2">
      <c r="A764" s="138"/>
      <c r="B764" s="267"/>
      <c r="C764" s="293"/>
      <c r="D764" s="141"/>
      <c r="E764" s="142"/>
      <c r="F764" s="143"/>
      <c r="G764" s="144"/>
    </row>
    <row r="765" spans="1:7" x14ac:dyDescent="0.2">
      <c r="A765" s="138"/>
      <c r="B765" s="267"/>
      <c r="C765" s="293"/>
      <c r="D765" s="141"/>
      <c r="E765" s="142"/>
      <c r="F765" s="143"/>
      <c r="G765" s="144"/>
    </row>
    <row r="766" spans="1:7" x14ac:dyDescent="0.2">
      <c r="A766" s="138"/>
      <c r="B766" s="267"/>
      <c r="C766" s="293"/>
      <c r="D766" s="141"/>
      <c r="E766" s="142"/>
      <c r="F766" s="143"/>
      <c r="G766" s="144"/>
    </row>
    <row r="767" spans="1:7" x14ac:dyDescent="0.2">
      <c r="A767" s="138"/>
      <c r="B767" s="267"/>
      <c r="C767" s="293"/>
      <c r="D767" s="141"/>
      <c r="E767" s="142"/>
      <c r="F767" s="143"/>
      <c r="G767" s="144"/>
    </row>
    <row r="768" spans="1:7" x14ac:dyDescent="0.2">
      <c r="A768" s="138"/>
      <c r="B768" s="267"/>
      <c r="C768" s="293"/>
      <c r="D768" s="141"/>
      <c r="E768" s="142"/>
      <c r="F768" s="143"/>
      <c r="G768" s="144"/>
    </row>
    <row r="769" spans="1:7" x14ac:dyDescent="0.2">
      <c r="A769" s="138"/>
      <c r="B769" s="267"/>
      <c r="C769" s="293"/>
      <c r="D769" s="141"/>
      <c r="E769" s="142"/>
      <c r="F769" s="143"/>
      <c r="G769" s="144"/>
    </row>
    <row r="770" spans="1:7" x14ac:dyDescent="0.2">
      <c r="A770" s="138"/>
      <c r="B770" s="267"/>
      <c r="C770" s="293"/>
      <c r="D770" s="141"/>
      <c r="E770" s="142"/>
      <c r="F770" s="143"/>
      <c r="G770" s="144"/>
    </row>
    <row r="771" spans="1:7" x14ac:dyDescent="0.2">
      <c r="A771" s="138"/>
      <c r="B771" s="267"/>
      <c r="C771" s="293"/>
      <c r="D771" s="141"/>
      <c r="E771" s="142"/>
      <c r="F771" s="143"/>
      <c r="G771" s="144"/>
    </row>
    <row r="772" spans="1:7" x14ac:dyDescent="0.2">
      <c r="A772" s="138"/>
      <c r="B772" s="267"/>
      <c r="C772" s="293"/>
      <c r="D772" s="141"/>
      <c r="E772" s="142"/>
      <c r="F772" s="143"/>
      <c r="G772" s="144"/>
    </row>
    <row r="773" spans="1:7" x14ac:dyDescent="0.2">
      <c r="A773" s="138"/>
      <c r="B773" s="267"/>
      <c r="C773" s="293"/>
      <c r="D773" s="141"/>
      <c r="E773" s="142"/>
      <c r="F773" s="143"/>
      <c r="G773" s="144"/>
    </row>
    <row r="774" spans="1:7" x14ac:dyDescent="0.2">
      <c r="A774" s="138"/>
      <c r="B774" s="267"/>
      <c r="C774" s="293"/>
      <c r="D774" s="141"/>
      <c r="E774" s="142"/>
      <c r="F774" s="143"/>
      <c r="G774" s="144"/>
    </row>
    <row r="775" spans="1:7" x14ac:dyDescent="0.2">
      <c r="A775" s="138"/>
      <c r="B775" s="267"/>
      <c r="C775" s="293"/>
      <c r="D775" s="141"/>
      <c r="E775" s="142"/>
      <c r="F775" s="143"/>
      <c r="G775" s="144"/>
    </row>
    <row r="776" spans="1:7" x14ac:dyDescent="0.2">
      <c r="A776" s="138"/>
      <c r="B776" s="267"/>
      <c r="C776" s="293"/>
      <c r="D776" s="141"/>
      <c r="E776" s="142"/>
      <c r="F776" s="143"/>
      <c r="G776" s="144"/>
    </row>
    <row r="777" spans="1:7" x14ac:dyDescent="0.2">
      <c r="A777" s="138"/>
      <c r="B777" s="267"/>
      <c r="C777" s="293"/>
      <c r="D777" s="141"/>
      <c r="E777" s="142"/>
      <c r="F777" s="143"/>
      <c r="G777" s="144"/>
    </row>
    <row r="778" spans="1:7" x14ac:dyDescent="0.2">
      <c r="A778" s="138"/>
      <c r="B778" s="267"/>
      <c r="C778" s="293"/>
      <c r="D778" s="141"/>
      <c r="E778" s="142"/>
      <c r="F778" s="143"/>
      <c r="G778" s="144"/>
    </row>
    <row r="779" spans="1:7" x14ac:dyDescent="0.2">
      <c r="A779" s="138"/>
      <c r="B779" s="267"/>
      <c r="C779" s="293"/>
      <c r="D779" s="141"/>
      <c r="E779" s="142"/>
      <c r="F779" s="143"/>
      <c r="G779" s="144"/>
    </row>
    <row r="780" spans="1:7" x14ac:dyDescent="0.2">
      <c r="A780" s="138"/>
      <c r="B780" s="267"/>
      <c r="C780" s="293"/>
      <c r="D780" s="141"/>
      <c r="E780" s="142"/>
      <c r="F780" s="143"/>
      <c r="G780" s="144"/>
    </row>
    <row r="781" spans="1:7" x14ac:dyDescent="0.2">
      <c r="A781" s="138"/>
      <c r="B781" s="267"/>
      <c r="C781" s="293"/>
      <c r="D781" s="141"/>
      <c r="E781" s="142"/>
      <c r="F781" s="143"/>
      <c r="G781" s="144"/>
    </row>
    <row r="782" spans="1:7" x14ac:dyDescent="0.2">
      <c r="A782" s="138"/>
      <c r="B782" s="267"/>
      <c r="C782" s="293"/>
      <c r="D782" s="141"/>
      <c r="E782" s="142"/>
      <c r="F782" s="143"/>
      <c r="G782" s="144"/>
    </row>
    <row r="783" spans="1:7" x14ac:dyDescent="0.2">
      <c r="A783" s="138"/>
      <c r="B783" s="267"/>
      <c r="C783" s="293"/>
      <c r="D783" s="141"/>
      <c r="E783" s="142"/>
      <c r="F783" s="143"/>
      <c r="G783" s="144"/>
    </row>
    <row r="784" spans="1:7" ht="12.75" thickBot="1" x14ac:dyDescent="0.25">
      <c r="A784" s="138"/>
      <c r="B784" s="267"/>
      <c r="C784" s="293"/>
      <c r="D784" s="141"/>
      <c r="E784" s="142"/>
      <c r="F784" s="143"/>
      <c r="G784" s="144"/>
    </row>
    <row r="785" spans="1:7" x14ac:dyDescent="0.2">
      <c r="A785" s="280"/>
      <c r="B785" s="115" t="s">
        <v>196</v>
      </c>
      <c r="C785" s="127"/>
      <c r="D785" s="117"/>
      <c r="E785" s="118"/>
      <c r="F785" s="210"/>
      <c r="G785" s="167"/>
    </row>
    <row r="786" spans="1:7" ht="12.75" thickBot="1" x14ac:dyDescent="0.25">
      <c r="A786" s="283"/>
      <c r="B786" s="103" t="s">
        <v>113</v>
      </c>
      <c r="C786" s="128"/>
      <c r="D786" s="122"/>
      <c r="E786" s="123"/>
      <c r="F786" s="211"/>
      <c r="G786" s="107">
        <f>SUM(G720:G785)</f>
        <v>0</v>
      </c>
    </row>
    <row r="787" spans="1:7" ht="12.75" thickBot="1" x14ac:dyDescent="0.25">
      <c r="A787" s="77"/>
      <c r="B787" s="66"/>
      <c r="C787" s="63"/>
      <c r="D787" s="55"/>
      <c r="E787" s="61"/>
      <c r="F787" s="46"/>
      <c r="G787" s="72"/>
    </row>
    <row r="788" spans="1:7" x14ac:dyDescent="0.2">
      <c r="A788" s="114"/>
      <c r="B788" s="521" t="s">
        <v>114</v>
      </c>
      <c r="C788" s="127"/>
      <c r="D788" s="117"/>
      <c r="E788" s="118"/>
      <c r="F788" s="210"/>
      <c r="G788" s="168"/>
    </row>
    <row r="789" spans="1:7" x14ac:dyDescent="0.2">
      <c r="A789" s="58"/>
      <c r="B789" s="522" t="s">
        <v>120</v>
      </c>
      <c r="C789" s="63"/>
      <c r="D789" s="55"/>
      <c r="E789" s="61"/>
      <c r="F789" s="497"/>
      <c r="G789" s="144"/>
    </row>
    <row r="790" spans="1:7" x14ac:dyDescent="0.2">
      <c r="A790" s="77" t="s">
        <v>115</v>
      </c>
      <c r="B790" s="523" t="s">
        <v>40</v>
      </c>
      <c r="C790" s="63"/>
      <c r="D790" s="55"/>
      <c r="E790" s="61"/>
      <c r="F790" s="497"/>
      <c r="G790" s="144"/>
    </row>
    <row r="791" spans="1:7" ht="27" customHeight="1" x14ac:dyDescent="0.2">
      <c r="A791" s="58"/>
      <c r="B791" s="629" t="s">
        <v>160</v>
      </c>
      <c r="C791" s="587"/>
      <c r="D791" s="587"/>
      <c r="E791" s="587"/>
      <c r="F791" s="587"/>
      <c r="G791" s="206"/>
    </row>
    <row r="792" spans="1:7" ht="30" customHeight="1" x14ac:dyDescent="0.2">
      <c r="A792" s="68"/>
      <c r="B792" s="629" t="s">
        <v>159</v>
      </c>
      <c r="C792" s="587"/>
      <c r="D792" s="587"/>
      <c r="E792" s="587"/>
      <c r="F792" s="587"/>
      <c r="G792" s="206"/>
    </row>
    <row r="793" spans="1:7" ht="16.5" customHeight="1" x14ac:dyDescent="0.2">
      <c r="A793" s="58"/>
      <c r="B793" s="629" t="s">
        <v>450</v>
      </c>
      <c r="C793" s="587"/>
      <c r="D793" s="587"/>
      <c r="E793" s="587"/>
      <c r="F793" s="587"/>
      <c r="G793" s="206"/>
    </row>
    <row r="794" spans="1:7" ht="54" customHeight="1" x14ac:dyDescent="0.2">
      <c r="A794" s="58"/>
      <c r="B794" s="629" t="s">
        <v>158</v>
      </c>
      <c r="C794" s="587"/>
      <c r="D794" s="587"/>
      <c r="E794" s="587"/>
      <c r="F794" s="587"/>
      <c r="G794" s="206"/>
    </row>
    <row r="795" spans="1:7" ht="14.25" customHeight="1" thickBot="1" x14ac:dyDescent="0.25">
      <c r="A795" s="120"/>
      <c r="B795" s="630" t="s">
        <v>451</v>
      </c>
      <c r="C795" s="631"/>
      <c r="D795" s="631"/>
      <c r="E795" s="631"/>
      <c r="F795" s="631"/>
      <c r="G795" s="484"/>
    </row>
    <row r="796" spans="1:7" x14ac:dyDescent="0.2">
      <c r="A796" s="310" t="s">
        <v>149</v>
      </c>
      <c r="B796" s="311" t="s">
        <v>56</v>
      </c>
      <c r="C796" s="312"/>
      <c r="D796" s="313"/>
      <c r="E796" s="314"/>
      <c r="F796" s="315"/>
      <c r="G796" s="316">
        <f>D796*E796</f>
        <v>0</v>
      </c>
    </row>
    <row r="797" spans="1:7" x14ac:dyDescent="0.2">
      <c r="A797" s="317" t="s">
        <v>164</v>
      </c>
      <c r="B797" s="318" t="s">
        <v>122</v>
      </c>
      <c r="C797" s="319"/>
      <c r="D797" s="320"/>
      <c r="E797" s="321"/>
      <c r="F797" s="322"/>
      <c r="G797" s="323"/>
    </row>
    <row r="798" spans="1:7" x14ac:dyDescent="0.2">
      <c r="A798" s="324" t="s">
        <v>186</v>
      </c>
      <c r="B798" s="192" t="s">
        <v>211</v>
      </c>
      <c r="C798" s="290" t="s">
        <v>15</v>
      </c>
      <c r="D798" s="193">
        <v>1</v>
      </c>
      <c r="E798" s="142"/>
      <c r="F798" s="143"/>
      <c r="G798" s="144">
        <f>(D798*E798)+(D798*F798)</f>
        <v>0</v>
      </c>
    </row>
    <row r="799" spans="1:7" ht="27" customHeight="1" x14ac:dyDescent="0.2">
      <c r="A799" s="324" t="s">
        <v>187</v>
      </c>
      <c r="B799" s="192" t="s">
        <v>212</v>
      </c>
      <c r="C799" s="290" t="s">
        <v>15</v>
      </c>
      <c r="D799" s="193">
        <v>1</v>
      </c>
      <c r="E799" s="142"/>
      <c r="F799" s="143"/>
      <c r="G799" s="144">
        <f>(D799*E799)+(D799*F799)</f>
        <v>0</v>
      </c>
    </row>
    <row r="800" spans="1:7" ht="36" x14ac:dyDescent="0.2">
      <c r="A800" s="324" t="s">
        <v>189</v>
      </c>
      <c r="B800" s="192" t="s">
        <v>248</v>
      </c>
      <c r="C800" s="290" t="s">
        <v>102</v>
      </c>
      <c r="D800" s="193">
        <v>1</v>
      </c>
      <c r="E800" s="142"/>
      <c r="F800" s="143"/>
      <c r="G800" s="144">
        <f>(D800*E800)+(D800*F800)</f>
        <v>0</v>
      </c>
    </row>
    <row r="801" spans="1:10" x14ac:dyDescent="0.2">
      <c r="A801" s="317" t="s">
        <v>165</v>
      </c>
      <c r="B801" s="325" t="s">
        <v>123</v>
      </c>
      <c r="C801" s="319"/>
      <c r="D801" s="320"/>
      <c r="E801" s="321"/>
      <c r="F801" s="326"/>
      <c r="G801" s="327"/>
    </row>
    <row r="802" spans="1:10" x14ac:dyDescent="0.2">
      <c r="A802" s="324" t="s">
        <v>164</v>
      </c>
      <c r="B802" s="192" t="s">
        <v>124</v>
      </c>
      <c r="C802" s="290" t="s">
        <v>102</v>
      </c>
      <c r="D802" s="193">
        <v>3</v>
      </c>
      <c r="E802" s="142"/>
      <c r="F802" s="143"/>
      <c r="G802" s="144">
        <f>(D802*E802)+(D802*F802)</f>
        <v>0</v>
      </c>
    </row>
    <row r="803" spans="1:10" x14ac:dyDescent="0.2">
      <c r="A803" s="324" t="s">
        <v>165</v>
      </c>
      <c r="B803" s="192" t="s">
        <v>213</v>
      </c>
      <c r="C803" s="290" t="s">
        <v>102</v>
      </c>
      <c r="D803" s="193">
        <v>2</v>
      </c>
      <c r="E803" s="142"/>
      <c r="F803" s="143"/>
      <c r="G803" s="144">
        <f t="shared" ref="G803:G812" si="106">(D803*E803)+(D803*F803)</f>
        <v>0</v>
      </c>
    </row>
    <row r="804" spans="1:10" x14ac:dyDescent="0.2">
      <c r="A804" s="324" t="s">
        <v>177</v>
      </c>
      <c r="B804" s="192" t="s">
        <v>125</v>
      </c>
      <c r="C804" s="290" t="s">
        <v>102</v>
      </c>
      <c r="D804" s="193">
        <f>D803</f>
        <v>2</v>
      </c>
      <c r="E804" s="142"/>
      <c r="F804" s="143"/>
      <c r="G804" s="144">
        <f t="shared" si="106"/>
        <v>0</v>
      </c>
    </row>
    <row r="805" spans="1:10" x14ac:dyDescent="0.2">
      <c r="A805" s="324" t="s">
        <v>178</v>
      </c>
      <c r="B805" s="192" t="s">
        <v>126</v>
      </c>
      <c r="C805" s="290" t="s">
        <v>102</v>
      </c>
      <c r="D805" s="193">
        <f>D802</f>
        <v>3</v>
      </c>
      <c r="E805" s="142"/>
      <c r="F805" s="143"/>
      <c r="G805" s="144">
        <f t="shared" si="106"/>
        <v>0</v>
      </c>
    </row>
    <row r="806" spans="1:10" x14ac:dyDescent="0.2">
      <c r="A806" s="324" t="s">
        <v>179</v>
      </c>
      <c r="B806" s="192" t="s">
        <v>127</v>
      </c>
      <c r="C806" s="290" t="s">
        <v>102</v>
      </c>
      <c r="D806" s="193">
        <f>D802</f>
        <v>3</v>
      </c>
      <c r="E806" s="142"/>
      <c r="F806" s="143"/>
      <c r="G806" s="144">
        <f t="shared" si="106"/>
        <v>0</v>
      </c>
    </row>
    <row r="807" spans="1:10" x14ac:dyDescent="0.2">
      <c r="A807" s="324" t="s">
        <v>180</v>
      </c>
      <c r="B807" s="192" t="s">
        <v>128</v>
      </c>
      <c r="C807" s="290" t="s">
        <v>102</v>
      </c>
      <c r="D807" s="193">
        <f>D802</f>
        <v>3</v>
      </c>
      <c r="E807" s="142"/>
      <c r="F807" s="143"/>
      <c r="G807" s="144">
        <f t="shared" si="106"/>
        <v>0</v>
      </c>
    </row>
    <row r="808" spans="1:10" x14ac:dyDescent="0.2">
      <c r="A808" s="324" t="s">
        <v>181</v>
      </c>
      <c r="B808" s="192" t="s">
        <v>404</v>
      </c>
      <c r="C808" s="290" t="s">
        <v>102</v>
      </c>
      <c r="D808" s="193">
        <v>4</v>
      </c>
      <c r="E808" s="142"/>
      <c r="F808" s="143"/>
      <c r="G808" s="144">
        <f t="shared" si="106"/>
        <v>0</v>
      </c>
    </row>
    <row r="809" spans="1:10" x14ac:dyDescent="0.2">
      <c r="A809" s="324" t="s">
        <v>182</v>
      </c>
      <c r="B809" s="192" t="s">
        <v>214</v>
      </c>
      <c r="C809" s="290" t="s">
        <v>102</v>
      </c>
      <c r="D809" s="193">
        <f>D802</f>
        <v>3</v>
      </c>
      <c r="E809" s="142"/>
      <c r="F809" s="143"/>
      <c r="G809" s="144">
        <f t="shared" si="106"/>
        <v>0</v>
      </c>
    </row>
    <row r="810" spans="1:10" x14ac:dyDescent="0.2">
      <c r="A810" s="324" t="s">
        <v>183</v>
      </c>
      <c r="B810" s="192" t="s">
        <v>263</v>
      </c>
      <c r="C810" s="290" t="s">
        <v>102</v>
      </c>
      <c r="D810" s="193">
        <v>4</v>
      </c>
      <c r="E810" s="142"/>
      <c r="F810" s="143"/>
      <c r="G810" s="144">
        <f t="shared" si="106"/>
        <v>0</v>
      </c>
    </row>
    <row r="811" spans="1:10" x14ac:dyDescent="0.2">
      <c r="A811" s="324" t="s">
        <v>185</v>
      </c>
      <c r="B811" s="192" t="s">
        <v>409</v>
      </c>
      <c r="C811" s="290" t="s">
        <v>102</v>
      </c>
      <c r="D811" s="193">
        <v>3</v>
      </c>
      <c r="E811" s="142"/>
      <c r="F811" s="143"/>
      <c r="G811" s="144">
        <f t="shared" si="106"/>
        <v>0</v>
      </c>
    </row>
    <row r="812" spans="1:10" x14ac:dyDescent="0.2">
      <c r="A812" s="317" t="s">
        <v>177</v>
      </c>
      <c r="B812" s="328" t="s">
        <v>215</v>
      </c>
      <c r="C812" s="329"/>
      <c r="D812" s="320"/>
      <c r="E812" s="321"/>
      <c r="F812" s="326"/>
      <c r="G812" s="327">
        <f t="shared" si="106"/>
        <v>0</v>
      </c>
    </row>
    <row r="813" spans="1:10" ht="39" customHeight="1" x14ac:dyDescent="0.2">
      <c r="A813" s="324" t="s">
        <v>164</v>
      </c>
      <c r="B813" s="192" t="s">
        <v>216</v>
      </c>
      <c r="C813" s="290" t="s">
        <v>15</v>
      </c>
      <c r="D813" s="193">
        <v>1</v>
      </c>
      <c r="E813" s="142"/>
      <c r="F813" s="143"/>
      <c r="G813" s="144">
        <f t="shared" ref="G813:G815" si="107">(D813*E813)+(D813*F813)</f>
        <v>0</v>
      </c>
    </row>
    <row r="814" spans="1:10" ht="36.75" customHeight="1" x14ac:dyDescent="0.2">
      <c r="A814" s="324" t="s">
        <v>165</v>
      </c>
      <c r="B814" s="192" t="s">
        <v>217</v>
      </c>
      <c r="C814" s="290" t="s">
        <v>15</v>
      </c>
      <c r="D814" s="193">
        <v>1</v>
      </c>
      <c r="E814" s="142"/>
      <c r="F814" s="143"/>
      <c r="G814" s="144">
        <f t="shared" si="107"/>
        <v>0</v>
      </c>
    </row>
    <row r="815" spans="1:10" ht="49.5" customHeight="1" thickBot="1" x14ac:dyDescent="0.25">
      <c r="A815" s="324" t="s">
        <v>177</v>
      </c>
      <c r="B815" s="192" t="s">
        <v>378</v>
      </c>
      <c r="C815" s="147" t="s">
        <v>139</v>
      </c>
      <c r="D815" s="193">
        <v>1.8</v>
      </c>
      <c r="E815" s="142"/>
      <c r="F815" s="143"/>
      <c r="G815" s="144">
        <f t="shared" si="107"/>
        <v>0</v>
      </c>
      <c r="I815" s="31"/>
      <c r="J815" s="31"/>
    </row>
    <row r="816" spans="1:10" x14ac:dyDescent="0.2">
      <c r="A816" s="331"/>
      <c r="B816" s="332"/>
      <c r="C816" s="333"/>
      <c r="D816" s="334"/>
      <c r="E816" s="251"/>
      <c r="F816" s="252"/>
      <c r="G816" s="168"/>
    </row>
    <row r="817" spans="1:7" ht="12.75" customHeight="1" x14ac:dyDescent="0.2">
      <c r="A817" s="335" t="s">
        <v>150</v>
      </c>
      <c r="B817" s="336" t="s">
        <v>58</v>
      </c>
      <c r="C817" s="337"/>
      <c r="D817" s="338"/>
      <c r="E817" s="288"/>
      <c r="F817" s="175"/>
      <c r="G817" s="176"/>
    </row>
    <row r="818" spans="1:7" x14ac:dyDescent="0.2">
      <c r="A818" s="317" t="s">
        <v>164</v>
      </c>
      <c r="B818" s="318" t="s">
        <v>122</v>
      </c>
      <c r="C818" s="319"/>
      <c r="D818" s="320"/>
      <c r="E818" s="321"/>
      <c r="F818" s="322"/>
      <c r="G818" s="323"/>
    </row>
    <row r="819" spans="1:7" x14ac:dyDescent="0.2">
      <c r="A819" s="324" t="s">
        <v>186</v>
      </c>
      <c r="B819" s="192" t="s">
        <v>211</v>
      </c>
      <c r="C819" s="290" t="s">
        <v>15</v>
      </c>
      <c r="D819" s="193">
        <v>1</v>
      </c>
      <c r="E819" s="142"/>
      <c r="F819" s="143"/>
      <c r="G819" s="144">
        <f>(D819*E819)+(D819*F819)</f>
        <v>0</v>
      </c>
    </row>
    <row r="820" spans="1:7" ht="24" x14ac:dyDescent="0.2">
      <c r="A820" s="324" t="s">
        <v>187</v>
      </c>
      <c r="B820" s="192" t="s">
        <v>212</v>
      </c>
      <c r="C820" s="290" t="s">
        <v>15</v>
      </c>
      <c r="D820" s="193">
        <v>1</v>
      </c>
      <c r="E820" s="142"/>
      <c r="F820" s="143"/>
      <c r="G820" s="144">
        <f>(D820*E820)+(D820*F820)</f>
        <v>0</v>
      </c>
    </row>
    <row r="821" spans="1:7" ht="14.25" customHeight="1" x14ac:dyDescent="0.2">
      <c r="A821" s="317" t="s">
        <v>165</v>
      </c>
      <c r="B821" s="325" t="s">
        <v>123</v>
      </c>
      <c r="C821" s="319"/>
      <c r="D821" s="320"/>
      <c r="E821" s="321"/>
      <c r="F821" s="326"/>
      <c r="G821" s="327"/>
    </row>
    <row r="822" spans="1:7" ht="14.25" customHeight="1" x14ac:dyDescent="0.2">
      <c r="A822" s="324" t="s">
        <v>164</v>
      </c>
      <c r="B822" s="192" t="s">
        <v>124</v>
      </c>
      <c r="C822" s="290" t="s">
        <v>102</v>
      </c>
      <c r="D822" s="193">
        <v>3</v>
      </c>
      <c r="E822" s="142"/>
      <c r="F822" s="143"/>
      <c r="G822" s="144">
        <f>(D822*E822)+(D822*F822)</f>
        <v>0</v>
      </c>
    </row>
    <row r="823" spans="1:7" x14ac:dyDescent="0.2">
      <c r="A823" s="324" t="s">
        <v>165</v>
      </c>
      <c r="B823" s="192" t="s">
        <v>213</v>
      </c>
      <c r="C823" s="290" t="s">
        <v>102</v>
      </c>
      <c r="D823" s="193">
        <v>2</v>
      </c>
      <c r="E823" s="142"/>
      <c r="F823" s="143"/>
      <c r="G823" s="144">
        <f t="shared" ref="G823:G839" si="108">(D823*E823)+(D823*F823)</f>
        <v>0</v>
      </c>
    </row>
    <row r="824" spans="1:7" x14ac:dyDescent="0.2">
      <c r="A824" s="324" t="s">
        <v>177</v>
      </c>
      <c r="B824" s="192" t="s">
        <v>125</v>
      </c>
      <c r="C824" s="290" t="s">
        <v>102</v>
      </c>
      <c r="D824" s="193">
        <f>D823</f>
        <v>2</v>
      </c>
      <c r="E824" s="142"/>
      <c r="F824" s="143"/>
      <c r="G824" s="144">
        <f t="shared" si="108"/>
        <v>0</v>
      </c>
    </row>
    <row r="825" spans="1:7" x14ac:dyDescent="0.2">
      <c r="A825" s="324" t="s">
        <v>178</v>
      </c>
      <c r="B825" s="192" t="s">
        <v>126</v>
      </c>
      <c r="C825" s="290" t="s">
        <v>102</v>
      </c>
      <c r="D825" s="193">
        <f>D822</f>
        <v>3</v>
      </c>
      <c r="E825" s="142"/>
      <c r="F825" s="143"/>
      <c r="G825" s="144">
        <f t="shared" si="108"/>
        <v>0</v>
      </c>
    </row>
    <row r="826" spans="1:7" ht="12.75" thickBot="1" x14ac:dyDescent="0.25">
      <c r="A826" s="324" t="s">
        <v>179</v>
      </c>
      <c r="B826" s="192" t="s">
        <v>127</v>
      </c>
      <c r="C826" s="290" t="s">
        <v>102</v>
      </c>
      <c r="D826" s="193">
        <f>D822</f>
        <v>3</v>
      </c>
      <c r="E826" s="142"/>
      <c r="F826" s="143"/>
      <c r="G826" s="144">
        <f t="shared" si="108"/>
        <v>0</v>
      </c>
    </row>
    <row r="827" spans="1:7" x14ac:dyDescent="0.2">
      <c r="A827" s="331" t="s">
        <v>180</v>
      </c>
      <c r="B827" s="332" t="s">
        <v>128</v>
      </c>
      <c r="C827" s="333" t="s">
        <v>102</v>
      </c>
      <c r="D827" s="334">
        <f>D822</f>
        <v>3</v>
      </c>
      <c r="E827" s="251"/>
      <c r="F827" s="252"/>
      <c r="G827" s="168">
        <f t="shared" si="108"/>
        <v>0</v>
      </c>
    </row>
    <row r="828" spans="1:7" x14ac:dyDescent="0.2">
      <c r="A828" s="324" t="s">
        <v>181</v>
      </c>
      <c r="B828" s="192" t="s">
        <v>404</v>
      </c>
      <c r="C828" s="290" t="s">
        <v>102</v>
      </c>
      <c r="D828" s="193">
        <v>4</v>
      </c>
      <c r="E828" s="142"/>
      <c r="F828" s="143"/>
      <c r="G828" s="144">
        <f t="shared" si="108"/>
        <v>0</v>
      </c>
    </row>
    <row r="829" spans="1:7" ht="14.25" customHeight="1" x14ac:dyDescent="0.2">
      <c r="A829" s="324" t="s">
        <v>182</v>
      </c>
      <c r="B829" s="192" t="s">
        <v>214</v>
      </c>
      <c r="C829" s="290" t="s">
        <v>102</v>
      </c>
      <c r="D829" s="193">
        <f>D822</f>
        <v>3</v>
      </c>
      <c r="E829" s="142"/>
      <c r="F829" s="143"/>
      <c r="G829" s="144">
        <f t="shared" si="108"/>
        <v>0</v>
      </c>
    </row>
    <row r="830" spans="1:7" x14ac:dyDescent="0.2">
      <c r="A830" s="324" t="s">
        <v>183</v>
      </c>
      <c r="B830" s="192" t="s">
        <v>263</v>
      </c>
      <c r="C830" s="290" t="s">
        <v>102</v>
      </c>
      <c r="D830" s="193">
        <v>4</v>
      </c>
      <c r="E830" s="142"/>
      <c r="F830" s="143"/>
      <c r="G830" s="144">
        <f t="shared" si="108"/>
        <v>0</v>
      </c>
    </row>
    <row r="831" spans="1:7" x14ac:dyDescent="0.2">
      <c r="A831" s="324" t="s">
        <v>185</v>
      </c>
      <c r="B831" s="192" t="s">
        <v>409</v>
      </c>
      <c r="C831" s="290" t="s">
        <v>102</v>
      </c>
      <c r="D831" s="193">
        <v>3</v>
      </c>
      <c r="E831" s="142"/>
      <c r="F831" s="143"/>
      <c r="G831" s="144">
        <f t="shared" si="108"/>
        <v>0</v>
      </c>
    </row>
    <row r="832" spans="1:7" x14ac:dyDescent="0.2">
      <c r="A832" s="324"/>
      <c r="B832" s="192"/>
      <c r="C832" s="290"/>
      <c r="D832" s="193"/>
      <c r="E832" s="142"/>
      <c r="F832" s="143"/>
      <c r="G832" s="144"/>
    </row>
    <row r="833" spans="1:7" x14ac:dyDescent="0.2">
      <c r="A833" s="324"/>
      <c r="B833" s="192"/>
      <c r="C833" s="290"/>
      <c r="D833" s="193"/>
      <c r="E833" s="142"/>
      <c r="F833" s="143"/>
      <c r="G833" s="144"/>
    </row>
    <row r="834" spans="1:7" x14ac:dyDescent="0.2">
      <c r="A834" s="324"/>
      <c r="B834" s="192"/>
      <c r="C834" s="290"/>
      <c r="D834" s="193"/>
      <c r="E834" s="142"/>
      <c r="F834" s="143"/>
      <c r="G834" s="144"/>
    </row>
    <row r="835" spans="1:7" x14ac:dyDescent="0.2">
      <c r="A835" s="324"/>
      <c r="B835" s="192"/>
      <c r="C835" s="290"/>
      <c r="D835" s="193"/>
      <c r="E835" s="142"/>
      <c r="F835" s="143"/>
      <c r="G835" s="144"/>
    </row>
    <row r="836" spans="1:7" x14ac:dyDescent="0.2">
      <c r="A836" s="324"/>
      <c r="B836" s="192"/>
      <c r="C836" s="290"/>
      <c r="D836" s="193"/>
      <c r="E836" s="142"/>
      <c r="F836" s="143"/>
      <c r="G836" s="144"/>
    </row>
    <row r="837" spans="1:7" x14ac:dyDescent="0.2">
      <c r="A837" s="324"/>
      <c r="B837" s="192"/>
      <c r="C837" s="290"/>
      <c r="D837" s="193"/>
      <c r="E837" s="142"/>
      <c r="F837" s="143"/>
      <c r="G837" s="144"/>
    </row>
    <row r="838" spans="1:7" x14ac:dyDescent="0.2">
      <c r="A838" s="317" t="s">
        <v>177</v>
      </c>
      <c r="B838" s="328" t="s">
        <v>215</v>
      </c>
      <c r="C838" s="329"/>
      <c r="D838" s="320"/>
      <c r="E838" s="321"/>
      <c r="F838" s="326"/>
      <c r="G838" s="327">
        <f t="shared" si="108"/>
        <v>0</v>
      </c>
    </row>
    <row r="839" spans="1:7" ht="38.25" customHeight="1" x14ac:dyDescent="0.2">
      <c r="A839" s="324" t="s">
        <v>164</v>
      </c>
      <c r="B839" s="192" t="s">
        <v>216</v>
      </c>
      <c r="C839" s="290" t="s">
        <v>15</v>
      </c>
      <c r="D839" s="193">
        <v>1</v>
      </c>
      <c r="E839" s="142"/>
      <c r="F839" s="143"/>
      <c r="G839" s="144">
        <f t="shared" si="108"/>
        <v>0</v>
      </c>
    </row>
    <row r="840" spans="1:7" ht="12" customHeight="1" x14ac:dyDescent="0.2">
      <c r="A840" s="138"/>
      <c r="B840" s="267"/>
      <c r="C840" s="293"/>
      <c r="D840" s="141"/>
      <c r="E840" s="142"/>
      <c r="F840" s="143"/>
      <c r="G840" s="144"/>
    </row>
    <row r="841" spans="1:7" ht="12" customHeight="1" x14ac:dyDescent="0.2">
      <c r="A841" s="335" t="s">
        <v>50</v>
      </c>
      <c r="B841" s="336" t="s">
        <v>415</v>
      </c>
      <c r="C841" s="337"/>
      <c r="D841" s="338"/>
      <c r="E841" s="288"/>
      <c r="F841" s="175"/>
      <c r="G841" s="176"/>
    </row>
    <row r="842" spans="1:7" ht="12" customHeight="1" x14ac:dyDescent="0.2">
      <c r="A842" s="317" t="s">
        <v>164</v>
      </c>
      <c r="B842" s="318" t="s">
        <v>122</v>
      </c>
      <c r="C842" s="319"/>
      <c r="D842" s="320"/>
      <c r="E842" s="321"/>
      <c r="F842" s="322"/>
      <c r="G842" s="323"/>
    </row>
    <row r="843" spans="1:7" ht="12" customHeight="1" x14ac:dyDescent="0.2">
      <c r="A843" s="324" t="s">
        <v>186</v>
      </c>
      <c r="B843" s="192" t="s">
        <v>211</v>
      </c>
      <c r="C843" s="290" t="s">
        <v>15</v>
      </c>
      <c r="D843" s="193">
        <v>1</v>
      </c>
      <c r="E843" s="142"/>
      <c r="F843" s="143"/>
      <c r="G843" s="144">
        <f>(D843*E843)+(D843*F843)</f>
        <v>0</v>
      </c>
    </row>
    <row r="844" spans="1:7" ht="26.25" customHeight="1" x14ac:dyDescent="0.2">
      <c r="A844" s="324" t="s">
        <v>187</v>
      </c>
      <c r="B844" s="192" t="s">
        <v>212</v>
      </c>
      <c r="C844" s="290" t="s">
        <v>15</v>
      </c>
      <c r="D844" s="193">
        <v>1</v>
      </c>
      <c r="E844" s="142"/>
      <c r="F844" s="143"/>
      <c r="G844" s="144">
        <f>(D844*E844)+(D844*F844)</f>
        <v>0</v>
      </c>
    </row>
    <row r="845" spans="1:7" ht="12" customHeight="1" x14ac:dyDescent="0.2">
      <c r="A845" s="317" t="s">
        <v>165</v>
      </c>
      <c r="B845" s="325" t="s">
        <v>123</v>
      </c>
      <c r="C845" s="319"/>
      <c r="D845" s="320"/>
      <c r="E845" s="321"/>
      <c r="F845" s="326"/>
      <c r="G845" s="327"/>
    </row>
    <row r="846" spans="1:7" ht="12" customHeight="1" x14ac:dyDescent="0.2">
      <c r="A846" s="324" t="s">
        <v>164</v>
      </c>
      <c r="B846" s="192" t="s">
        <v>124</v>
      </c>
      <c r="C846" s="290" t="s">
        <v>102</v>
      </c>
      <c r="D846" s="193">
        <v>3</v>
      </c>
      <c r="E846" s="142"/>
      <c r="F846" s="143"/>
      <c r="G846" s="144">
        <f>(D846*E846)+(D846*F846)</f>
        <v>0</v>
      </c>
    </row>
    <row r="847" spans="1:7" ht="12" customHeight="1" x14ac:dyDescent="0.2">
      <c r="A847" s="324" t="s">
        <v>165</v>
      </c>
      <c r="B847" s="192" t="s">
        <v>213</v>
      </c>
      <c r="C847" s="290" t="s">
        <v>102</v>
      </c>
      <c r="D847" s="193">
        <v>2</v>
      </c>
      <c r="E847" s="142"/>
      <c r="F847" s="143"/>
      <c r="G847" s="144">
        <f t="shared" ref="G847:G857" si="109">(D847*E847)+(D847*F847)</f>
        <v>0</v>
      </c>
    </row>
    <row r="848" spans="1:7" ht="12" customHeight="1" x14ac:dyDescent="0.2">
      <c r="A848" s="324" t="s">
        <v>177</v>
      </c>
      <c r="B848" s="192" t="s">
        <v>125</v>
      </c>
      <c r="C848" s="290" t="s">
        <v>102</v>
      </c>
      <c r="D848" s="193">
        <f>D847</f>
        <v>2</v>
      </c>
      <c r="E848" s="142"/>
      <c r="F848" s="143"/>
      <c r="G848" s="144">
        <f t="shared" si="109"/>
        <v>0</v>
      </c>
    </row>
    <row r="849" spans="1:7" ht="12" customHeight="1" x14ac:dyDescent="0.2">
      <c r="A849" s="324" t="s">
        <v>178</v>
      </c>
      <c r="B849" s="192" t="s">
        <v>126</v>
      </c>
      <c r="C849" s="290" t="s">
        <v>102</v>
      </c>
      <c r="D849" s="193">
        <f>D846</f>
        <v>3</v>
      </c>
      <c r="E849" s="142"/>
      <c r="F849" s="143"/>
      <c r="G849" s="144">
        <f t="shared" si="109"/>
        <v>0</v>
      </c>
    </row>
    <row r="850" spans="1:7" ht="12" customHeight="1" x14ac:dyDescent="0.2">
      <c r="A850" s="324" t="s">
        <v>179</v>
      </c>
      <c r="B850" s="192" t="s">
        <v>127</v>
      </c>
      <c r="C850" s="290" t="s">
        <v>102</v>
      </c>
      <c r="D850" s="193">
        <f>D846</f>
        <v>3</v>
      </c>
      <c r="E850" s="142"/>
      <c r="F850" s="143"/>
      <c r="G850" s="144">
        <f t="shared" si="109"/>
        <v>0</v>
      </c>
    </row>
    <row r="851" spans="1:7" ht="12" customHeight="1" x14ac:dyDescent="0.2">
      <c r="A851" s="324" t="s">
        <v>180</v>
      </c>
      <c r="B851" s="192" t="s">
        <v>128</v>
      </c>
      <c r="C851" s="290" t="s">
        <v>102</v>
      </c>
      <c r="D851" s="193">
        <f>D846</f>
        <v>3</v>
      </c>
      <c r="E851" s="142"/>
      <c r="F851" s="143"/>
      <c r="G851" s="144">
        <f t="shared" si="109"/>
        <v>0</v>
      </c>
    </row>
    <row r="852" spans="1:7" ht="12" customHeight="1" x14ac:dyDescent="0.2">
      <c r="A852" s="324" t="s">
        <v>181</v>
      </c>
      <c r="B852" s="192" t="s">
        <v>404</v>
      </c>
      <c r="C852" s="290" t="s">
        <v>102</v>
      </c>
      <c r="D852" s="193">
        <v>4</v>
      </c>
      <c r="E852" s="142"/>
      <c r="F852" s="143"/>
      <c r="G852" s="144">
        <f t="shared" si="109"/>
        <v>0</v>
      </c>
    </row>
    <row r="853" spans="1:7" ht="12" customHeight="1" x14ac:dyDescent="0.2">
      <c r="A853" s="324" t="s">
        <v>182</v>
      </c>
      <c r="B853" s="192" t="s">
        <v>214</v>
      </c>
      <c r="C853" s="290" t="s">
        <v>102</v>
      </c>
      <c r="D853" s="193">
        <f>D846</f>
        <v>3</v>
      </c>
      <c r="E853" s="142"/>
      <c r="F853" s="143"/>
      <c r="G853" s="144">
        <f t="shared" si="109"/>
        <v>0</v>
      </c>
    </row>
    <row r="854" spans="1:7" ht="12" customHeight="1" x14ac:dyDescent="0.2">
      <c r="A854" s="324" t="s">
        <v>183</v>
      </c>
      <c r="B854" s="192" t="s">
        <v>263</v>
      </c>
      <c r="C854" s="290" t="s">
        <v>102</v>
      </c>
      <c r="D854" s="193">
        <v>4</v>
      </c>
      <c r="E854" s="142"/>
      <c r="F854" s="143"/>
      <c r="G854" s="144">
        <f t="shared" si="109"/>
        <v>0</v>
      </c>
    </row>
    <row r="855" spans="1:7" ht="12" customHeight="1" x14ac:dyDescent="0.2">
      <c r="A855" s="324" t="s">
        <v>185</v>
      </c>
      <c r="B855" s="192" t="s">
        <v>409</v>
      </c>
      <c r="C855" s="290" t="s">
        <v>102</v>
      </c>
      <c r="D855" s="193">
        <v>3</v>
      </c>
      <c r="E855" s="142"/>
      <c r="F855" s="143"/>
      <c r="G855" s="144">
        <f t="shared" si="109"/>
        <v>0</v>
      </c>
    </row>
    <row r="856" spans="1:7" ht="12" customHeight="1" x14ac:dyDescent="0.2">
      <c r="A856" s="317" t="s">
        <v>177</v>
      </c>
      <c r="B856" s="328" t="s">
        <v>215</v>
      </c>
      <c r="C856" s="329"/>
      <c r="D856" s="320"/>
      <c r="E856" s="321"/>
      <c r="F856" s="326"/>
      <c r="G856" s="327">
        <f t="shared" si="109"/>
        <v>0</v>
      </c>
    </row>
    <row r="857" spans="1:7" ht="40.5" customHeight="1" x14ac:dyDescent="0.2">
      <c r="A857" s="324" t="s">
        <v>164</v>
      </c>
      <c r="B857" s="192" t="s">
        <v>216</v>
      </c>
      <c r="C857" s="290" t="s">
        <v>15</v>
      </c>
      <c r="D857" s="193">
        <v>1</v>
      </c>
      <c r="E857" s="142"/>
      <c r="F857" s="143"/>
      <c r="G857" s="144">
        <f t="shared" si="109"/>
        <v>0</v>
      </c>
    </row>
    <row r="858" spans="1:7" ht="12" customHeight="1" x14ac:dyDescent="0.2">
      <c r="A858" s="138"/>
      <c r="B858" s="267"/>
      <c r="C858" s="293"/>
      <c r="D858" s="141"/>
      <c r="E858" s="142"/>
      <c r="F858" s="143"/>
      <c r="G858" s="144"/>
    </row>
    <row r="859" spans="1:7" x14ac:dyDescent="0.2">
      <c r="A859" s="335" t="s">
        <v>151</v>
      </c>
      <c r="B859" s="336" t="s">
        <v>271</v>
      </c>
      <c r="C859" s="337"/>
      <c r="D859" s="338"/>
      <c r="E859" s="288"/>
      <c r="F859" s="175"/>
      <c r="G859" s="176"/>
    </row>
    <row r="860" spans="1:7" x14ac:dyDescent="0.2">
      <c r="A860" s="317" t="s">
        <v>164</v>
      </c>
      <c r="B860" s="328" t="s">
        <v>215</v>
      </c>
      <c r="C860" s="329"/>
      <c r="D860" s="320"/>
      <c r="E860" s="321"/>
      <c r="F860" s="326"/>
      <c r="G860" s="327">
        <f t="shared" ref="G860:G861" si="110">(D860*E860)+(D860*F860)</f>
        <v>0</v>
      </c>
    </row>
    <row r="861" spans="1:7" ht="36" x14ac:dyDescent="0.2">
      <c r="A861" s="324" t="s">
        <v>164</v>
      </c>
      <c r="B861" s="192" t="s">
        <v>331</v>
      </c>
      <c r="C861" s="290" t="s">
        <v>15</v>
      </c>
      <c r="D861" s="193">
        <v>1</v>
      </c>
      <c r="E861" s="142"/>
      <c r="F861" s="143"/>
      <c r="G861" s="144">
        <f t="shared" si="110"/>
        <v>0</v>
      </c>
    </row>
    <row r="862" spans="1:7" x14ac:dyDescent="0.2">
      <c r="A862" s="138"/>
      <c r="B862" s="267"/>
      <c r="C862" s="293"/>
      <c r="D862" s="141"/>
      <c r="E862" s="142"/>
      <c r="F862" s="143"/>
      <c r="G862" s="144"/>
    </row>
    <row r="863" spans="1:7" x14ac:dyDescent="0.2">
      <c r="A863" s="138"/>
      <c r="B863" s="267"/>
      <c r="C863" s="293"/>
      <c r="D863" s="141"/>
      <c r="E863" s="142"/>
      <c r="F863" s="143"/>
      <c r="G863" s="144"/>
    </row>
    <row r="864" spans="1:7" x14ac:dyDescent="0.2">
      <c r="A864" s="138"/>
      <c r="B864" s="267"/>
      <c r="C864" s="293"/>
      <c r="D864" s="141"/>
      <c r="E864" s="142"/>
      <c r="F864" s="143"/>
      <c r="G864" s="144"/>
    </row>
    <row r="865" spans="1:7" x14ac:dyDescent="0.2">
      <c r="A865" s="138"/>
      <c r="B865" s="267"/>
      <c r="C865" s="293"/>
      <c r="D865" s="141"/>
      <c r="E865" s="142"/>
      <c r="F865" s="143"/>
      <c r="G865" s="144"/>
    </row>
    <row r="866" spans="1:7" x14ac:dyDescent="0.2">
      <c r="A866" s="138"/>
      <c r="B866" s="267"/>
      <c r="C866" s="293"/>
      <c r="D866" s="141"/>
      <c r="E866" s="142"/>
      <c r="F866" s="143"/>
      <c r="G866" s="144"/>
    </row>
    <row r="867" spans="1:7" x14ac:dyDescent="0.2">
      <c r="A867" s="138"/>
      <c r="B867" s="267"/>
      <c r="C867" s="293"/>
      <c r="D867" s="141"/>
      <c r="E867" s="142"/>
      <c r="F867" s="143"/>
      <c r="G867" s="144"/>
    </row>
    <row r="868" spans="1:7" x14ac:dyDescent="0.2">
      <c r="A868" s="138"/>
      <c r="B868" s="267"/>
      <c r="C868" s="293"/>
      <c r="D868" s="141"/>
      <c r="E868" s="142"/>
      <c r="F868" s="143"/>
      <c r="G868" s="144"/>
    </row>
    <row r="869" spans="1:7" x14ac:dyDescent="0.2">
      <c r="A869" s="138"/>
      <c r="B869" s="267"/>
      <c r="C869" s="293"/>
      <c r="D869" s="141"/>
      <c r="E869" s="142"/>
      <c r="F869" s="143"/>
      <c r="G869" s="144"/>
    </row>
    <row r="870" spans="1:7" x14ac:dyDescent="0.2">
      <c r="A870" s="138"/>
      <c r="B870" s="267"/>
      <c r="C870" s="293"/>
      <c r="D870" s="141"/>
      <c r="E870" s="142"/>
      <c r="F870" s="143"/>
      <c r="G870" s="144"/>
    </row>
    <row r="871" spans="1:7" x14ac:dyDescent="0.2">
      <c r="A871" s="138"/>
      <c r="B871" s="267"/>
      <c r="C871" s="293"/>
      <c r="D871" s="141"/>
      <c r="E871" s="142"/>
      <c r="F871" s="143"/>
      <c r="G871" s="144"/>
    </row>
    <row r="872" spans="1:7" x14ac:dyDescent="0.2">
      <c r="A872" s="138"/>
      <c r="B872" s="267"/>
      <c r="C872" s="293"/>
      <c r="D872" s="141"/>
      <c r="E872" s="142"/>
      <c r="F872" s="143"/>
      <c r="G872" s="144"/>
    </row>
    <row r="873" spans="1:7" x14ac:dyDescent="0.2">
      <c r="A873" s="138"/>
      <c r="B873" s="267"/>
      <c r="C873" s="293"/>
      <c r="D873" s="141"/>
      <c r="E873" s="142"/>
      <c r="F873" s="143"/>
      <c r="G873" s="144"/>
    </row>
    <row r="874" spans="1:7" x14ac:dyDescent="0.2">
      <c r="A874" s="138"/>
      <c r="B874" s="267"/>
      <c r="C874" s="293"/>
      <c r="D874" s="141"/>
      <c r="E874" s="142"/>
      <c r="F874" s="143"/>
      <c r="G874" s="144"/>
    </row>
    <row r="875" spans="1:7" x14ac:dyDescent="0.2">
      <c r="A875" s="138"/>
      <c r="B875" s="267"/>
      <c r="C875" s="293"/>
      <c r="D875" s="141"/>
      <c r="E875" s="142"/>
      <c r="F875" s="143"/>
      <c r="G875" s="144"/>
    </row>
    <row r="876" spans="1:7" x14ac:dyDescent="0.2">
      <c r="A876" s="138"/>
      <c r="B876" s="267"/>
      <c r="C876" s="293"/>
      <c r="D876" s="141"/>
      <c r="E876" s="142"/>
      <c r="F876" s="143"/>
      <c r="G876" s="144"/>
    </row>
    <row r="877" spans="1:7" x14ac:dyDescent="0.2">
      <c r="A877" s="138"/>
      <c r="B877" s="267"/>
      <c r="C877" s="293"/>
      <c r="D877" s="141"/>
      <c r="E877" s="142"/>
      <c r="F877" s="143"/>
      <c r="G877" s="144"/>
    </row>
    <row r="878" spans="1:7" x14ac:dyDescent="0.2">
      <c r="A878" s="138"/>
      <c r="B878" s="267"/>
      <c r="C878" s="293"/>
      <c r="D878" s="141"/>
      <c r="E878" s="142"/>
      <c r="F878" s="143"/>
      <c r="G878" s="144"/>
    </row>
    <row r="879" spans="1:7" x14ac:dyDescent="0.2">
      <c r="A879" s="138"/>
      <c r="B879" s="267"/>
      <c r="C879" s="293"/>
      <c r="D879" s="141"/>
      <c r="E879" s="142"/>
      <c r="F879" s="143"/>
      <c r="G879" s="144"/>
    </row>
    <row r="880" spans="1:7" x14ac:dyDescent="0.2">
      <c r="A880" s="138"/>
      <c r="B880" s="267"/>
      <c r="C880" s="293"/>
      <c r="D880" s="141"/>
      <c r="E880" s="142"/>
      <c r="F880" s="143"/>
      <c r="G880" s="144"/>
    </row>
    <row r="881" spans="1:7" x14ac:dyDescent="0.2">
      <c r="A881" s="138"/>
      <c r="B881" s="267"/>
      <c r="C881" s="293"/>
      <c r="D881" s="141"/>
      <c r="E881" s="142"/>
      <c r="F881" s="143"/>
      <c r="G881" s="144"/>
    </row>
    <row r="882" spans="1:7" x14ac:dyDescent="0.2">
      <c r="A882" s="138"/>
      <c r="B882" s="267"/>
      <c r="C882" s="293"/>
      <c r="D882" s="141"/>
      <c r="E882" s="142"/>
      <c r="F882" s="143"/>
      <c r="G882" s="144"/>
    </row>
    <row r="883" spans="1:7" x14ac:dyDescent="0.2">
      <c r="A883" s="138"/>
      <c r="B883" s="267"/>
      <c r="C883" s="293"/>
      <c r="D883" s="141"/>
      <c r="E883" s="142"/>
      <c r="F883" s="143"/>
      <c r="G883" s="144"/>
    </row>
    <row r="884" spans="1:7" x14ac:dyDescent="0.2">
      <c r="A884" s="138"/>
      <c r="B884" s="267"/>
      <c r="C884" s="293"/>
      <c r="D884" s="141"/>
      <c r="E884" s="142"/>
      <c r="F884" s="143"/>
      <c r="G884" s="144"/>
    </row>
    <row r="885" spans="1:7" x14ac:dyDescent="0.2">
      <c r="A885" s="138"/>
      <c r="B885" s="267"/>
      <c r="C885" s="293"/>
      <c r="D885" s="141"/>
      <c r="E885" s="142"/>
      <c r="F885" s="143"/>
      <c r="G885" s="144"/>
    </row>
    <row r="886" spans="1:7" x14ac:dyDescent="0.2">
      <c r="A886" s="138"/>
      <c r="B886" s="267"/>
      <c r="C886" s="293"/>
      <c r="D886" s="141"/>
      <c r="E886" s="142"/>
      <c r="F886" s="143"/>
      <c r="G886" s="144"/>
    </row>
    <row r="887" spans="1:7" x14ac:dyDescent="0.2">
      <c r="A887" s="138"/>
      <c r="B887" s="267"/>
      <c r="C887" s="293"/>
      <c r="D887" s="141"/>
      <c r="E887" s="142"/>
      <c r="F887" s="143"/>
      <c r="G887" s="144"/>
    </row>
    <row r="888" spans="1:7" x14ac:dyDescent="0.2">
      <c r="A888" s="138"/>
      <c r="B888" s="267"/>
      <c r="C888" s="293"/>
      <c r="D888" s="141"/>
      <c r="E888" s="142"/>
      <c r="F888" s="143"/>
      <c r="G888" s="144"/>
    </row>
    <row r="889" spans="1:7" x14ac:dyDescent="0.2">
      <c r="A889" s="138"/>
      <c r="B889" s="267"/>
      <c r="C889" s="293"/>
      <c r="D889" s="141"/>
      <c r="E889" s="142"/>
      <c r="F889" s="143"/>
      <c r="G889" s="144"/>
    </row>
    <row r="890" spans="1:7" x14ac:dyDescent="0.2">
      <c r="A890" s="138"/>
      <c r="B890" s="267"/>
      <c r="C890" s="293"/>
      <c r="D890" s="141"/>
      <c r="E890" s="142"/>
      <c r="F890" s="143"/>
      <c r="G890" s="144"/>
    </row>
    <row r="891" spans="1:7" x14ac:dyDescent="0.2">
      <c r="A891" s="138"/>
      <c r="B891" s="267"/>
      <c r="C891" s="293"/>
      <c r="D891" s="141"/>
      <c r="E891" s="142"/>
      <c r="F891" s="143"/>
      <c r="G891" s="144"/>
    </row>
    <row r="892" spans="1:7" x14ac:dyDescent="0.2">
      <c r="A892" s="138"/>
      <c r="B892" s="267"/>
      <c r="C892" s="293"/>
      <c r="D892" s="141"/>
      <c r="E892" s="142"/>
      <c r="F892" s="143"/>
      <c r="G892" s="144"/>
    </row>
    <row r="893" spans="1:7" x14ac:dyDescent="0.2">
      <c r="A893" s="138"/>
      <c r="B893" s="267"/>
      <c r="C893" s="293"/>
      <c r="D893" s="141"/>
      <c r="E893" s="142"/>
      <c r="F893" s="143"/>
      <c r="G893" s="144"/>
    </row>
    <row r="894" spans="1:7" x14ac:dyDescent="0.2">
      <c r="A894" s="138"/>
      <c r="B894" s="267"/>
      <c r="C894" s="293"/>
      <c r="D894" s="141"/>
      <c r="E894" s="142"/>
      <c r="F894" s="143"/>
      <c r="G894" s="144"/>
    </row>
    <row r="895" spans="1:7" x14ac:dyDescent="0.2">
      <c r="A895" s="138"/>
      <c r="B895" s="267"/>
      <c r="C895" s="293"/>
      <c r="D895" s="141"/>
      <c r="E895" s="142"/>
      <c r="F895" s="143"/>
      <c r="G895" s="144"/>
    </row>
    <row r="896" spans="1:7" x14ac:dyDescent="0.2">
      <c r="A896" s="138"/>
      <c r="B896" s="267"/>
      <c r="C896" s="293"/>
      <c r="D896" s="141"/>
      <c r="E896" s="142"/>
      <c r="F896" s="143"/>
      <c r="G896" s="144"/>
    </row>
    <row r="897" spans="1:7" x14ac:dyDescent="0.2">
      <c r="A897" s="138"/>
      <c r="B897" s="267"/>
      <c r="C897" s="293"/>
      <c r="D897" s="141"/>
      <c r="E897" s="142"/>
      <c r="F897" s="143"/>
      <c r="G897" s="144"/>
    </row>
    <row r="898" spans="1:7" ht="12.75" thickBot="1" x14ac:dyDescent="0.25">
      <c r="A898" s="138"/>
      <c r="B898" s="267"/>
      <c r="C898" s="293"/>
      <c r="D898" s="141"/>
      <c r="E898" s="142"/>
      <c r="F898" s="143"/>
      <c r="G898" s="144"/>
    </row>
    <row r="899" spans="1:7" x14ac:dyDescent="0.2">
      <c r="A899" s="114"/>
      <c r="B899" s="115" t="s">
        <v>197</v>
      </c>
      <c r="C899" s="127"/>
      <c r="D899" s="117"/>
      <c r="E899" s="118"/>
      <c r="F899" s="210"/>
      <c r="G899" s="167"/>
    </row>
    <row r="900" spans="1:7" ht="12.75" thickBot="1" x14ac:dyDescent="0.25">
      <c r="A900" s="120"/>
      <c r="B900" s="103" t="s">
        <v>118</v>
      </c>
      <c r="C900" s="128"/>
      <c r="D900" s="122"/>
      <c r="E900" s="123"/>
      <c r="F900" s="211"/>
      <c r="G900" s="107">
        <f>SUM(G798:G899)</f>
        <v>0</v>
      </c>
    </row>
    <row r="901" spans="1:7" ht="12.75" thickBot="1" x14ac:dyDescent="0.25">
      <c r="A901" s="71"/>
      <c r="B901" s="79"/>
      <c r="C901" s="44"/>
      <c r="D901" s="57"/>
      <c r="E901" s="45"/>
      <c r="F901" s="46"/>
      <c r="G901" s="64"/>
    </row>
    <row r="902" spans="1:7" x14ac:dyDescent="0.2">
      <c r="A902" s="114"/>
      <c r="B902" s="495" t="s">
        <v>119</v>
      </c>
      <c r="C902" s="127"/>
      <c r="D902" s="117"/>
      <c r="E902" s="118"/>
      <c r="F902" s="210"/>
      <c r="G902" s="167"/>
    </row>
    <row r="903" spans="1:7" x14ac:dyDescent="0.2">
      <c r="A903" s="58"/>
      <c r="B903" s="496" t="s">
        <v>88</v>
      </c>
      <c r="C903" s="63"/>
      <c r="D903" s="55"/>
      <c r="E903" s="61"/>
      <c r="F903" s="497"/>
      <c r="G903" s="64"/>
    </row>
    <row r="904" spans="1:7" x14ac:dyDescent="0.2">
      <c r="A904" s="95" t="s">
        <v>121</v>
      </c>
      <c r="B904" s="498" t="s">
        <v>40</v>
      </c>
      <c r="C904" s="63"/>
      <c r="D904" s="55"/>
      <c r="E904" s="96"/>
      <c r="F904" s="497"/>
      <c r="G904" s="64"/>
    </row>
    <row r="905" spans="1:7" ht="31.5" customHeight="1" x14ac:dyDescent="0.2">
      <c r="A905" s="97"/>
      <c r="B905" s="580" t="s">
        <v>276</v>
      </c>
      <c r="C905" s="581"/>
      <c r="D905" s="581"/>
      <c r="E905" s="581"/>
      <c r="F905" s="582"/>
      <c r="G905" s="78"/>
    </row>
    <row r="906" spans="1:7" ht="34.5" customHeight="1" x14ac:dyDescent="0.2">
      <c r="A906" s="97"/>
      <c r="B906" s="580" t="s">
        <v>277</v>
      </c>
      <c r="C906" s="581"/>
      <c r="D906" s="581"/>
      <c r="E906" s="581"/>
      <c r="F906" s="582"/>
      <c r="G906" s="78"/>
    </row>
    <row r="907" spans="1:7" ht="33.75" customHeight="1" x14ac:dyDescent="0.2">
      <c r="A907" s="97"/>
      <c r="B907" s="580" t="s">
        <v>275</v>
      </c>
      <c r="C907" s="581"/>
      <c r="D907" s="581"/>
      <c r="E907" s="581"/>
      <c r="F907" s="582"/>
      <c r="G907" s="78"/>
    </row>
    <row r="908" spans="1:7" ht="30.75" customHeight="1" x14ac:dyDescent="0.2">
      <c r="A908" s="98"/>
      <c r="B908" s="580" t="s">
        <v>465</v>
      </c>
      <c r="C908" s="581"/>
      <c r="D908" s="581"/>
      <c r="E908" s="581"/>
      <c r="F908" s="582"/>
      <c r="G908" s="78"/>
    </row>
    <row r="909" spans="1:7" ht="20.25" customHeight="1" thickBot="1" x14ac:dyDescent="0.25">
      <c r="A909" s="341"/>
      <c r="B909" s="626" t="s">
        <v>464</v>
      </c>
      <c r="C909" s="627"/>
      <c r="D909" s="627"/>
      <c r="E909" s="627"/>
      <c r="F909" s="628"/>
      <c r="G909" s="309"/>
    </row>
    <row r="910" spans="1:7" x14ac:dyDescent="0.2">
      <c r="A910" s="342" t="s">
        <v>149</v>
      </c>
      <c r="B910" s="343" t="s">
        <v>56</v>
      </c>
      <c r="C910" s="344"/>
      <c r="D910" s="345"/>
      <c r="E910" s="346"/>
      <c r="F910" s="347"/>
      <c r="G910" s="348"/>
    </row>
    <row r="911" spans="1:7" ht="12.75" x14ac:dyDescent="0.2">
      <c r="A911" s="349" t="s">
        <v>164</v>
      </c>
      <c r="B911" s="350" t="s">
        <v>223</v>
      </c>
      <c r="C911" s="221"/>
      <c r="D911" s="222"/>
      <c r="E911" s="223"/>
      <c r="F911" s="188"/>
      <c r="G911" s="189">
        <f>D911*E911</f>
        <v>0</v>
      </c>
    </row>
    <row r="912" spans="1:7" ht="25.5" customHeight="1" x14ac:dyDescent="0.2">
      <c r="A912" s="351" t="s">
        <v>186</v>
      </c>
      <c r="B912" s="352" t="s">
        <v>466</v>
      </c>
      <c r="C912" s="353" t="s">
        <v>8</v>
      </c>
      <c r="D912" s="354">
        <v>1</v>
      </c>
      <c r="E912" s="355"/>
      <c r="F912" s="355"/>
      <c r="G912" s="356">
        <f>+D912*E912+D912*F912</f>
        <v>0</v>
      </c>
    </row>
    <row r="913" spans="1:7" ht="25.5" x14ac:dyDescent="0.2">
      <c r="A913" s="351" t="s">
        <v>187</v>
      </c>
      <c r="B913" s="357" t="s">
        <v>244</v>
      </c>
      <c r="C913" s="353" t="s">
        <v>8</v>
      </c>
      <c r="D913" s="354">
        <v>1</v>
      </c>
      <c r="E913" s="223"/>
      <c r="F913" s="355"/>
      <c r="G913" s="356">
        <f t="shared" ref="G913:G940" si="111">+D913*E913+D913*F913</f>
        <v>0</v>
      </c>
    </row>
    <row r="914" spans="1:7" ht="12.75" x14ac:dyDescent="0.2">
      <c r="A914" s="349" t="s">
        <v>165</v>
      </c>
      <c r="B914" s="350" t="s">
        <v>224</v>
      </c>
      <c r="C914" s="358"/>
      <c r="D914" s="359"/>
      <c r="E914" s="223"/>
      <c r="F914" s="355"/>
      <c r="G914" s="360">
        <f t="shared" si="111"/>
        <v>0</v>
      </c>
    </row>
    <row r="915" spans="1:7" ht="12.75" x14ac:dyDescent="0.2">
      <c r="A915" s="351"/>
      <c r="B915" s="357" t="s">
        <v>332</v>
      </c>
      <c r="C915" s="221" t="s">
        <v>8</v>
      </c>
      <c r="D915" s="222">
        <v>24</v>
      </c>
      <c r="E915" s="223"/>
      <c r="F915" s="355"/>
      <c r="G915" s="360">
        <f t="shared" si="111"/>
        <v>0</v>
      </c>
    </row>
    <row r="916" spans="1:7" ht="12.75" x14ac:dyDescent="0.2">
      <c r="A916" s="351"/>
      <c r="B916" s="357" t="s">
        <v>333</v>
      </c>
      <c r="C916" s="221" t="s">
        <v>8</v>
      </c>
      <c r="D916" s="222">
        <v>13</v>
      </c>
      <c r="E916" s="223"/>
      <c r="F916" s="355"/>
      <c r="G916" s="360">
        <f t="shared" ref="G916" si="112">+D916*E916+D916*F916</f>
        <v>0</v>
      </c>
    </row>
    <row r="917" spans="1:7" ht="12.75" x14ac:dyDescent="0.2">
      <c r="A917" s="351"/>
      <c r="B917" s="357" t="s">
        <v>280</v>
      </c>
      <c r="C917" s="221" t="s">
        <v>8</v>
      </c>
      <c r="D917" s="222">
        <v>6</v>
      </c>
      <c r="E917" s="223"/>
      <c r="F917" s="355"/>
      <c r="G917" s="360">
        <f t="shared" si="111"/>
        <v>0</v>
      </c>
    </row>
    <row r="918" spans="1:7" ht="12.75" x14ac:dyDescent="0.2">
      <c r="A918" s="351"/>
      <c r="B918" s="357" t="s">
        <v>268</v>
      </c>
      <c r="C918" s="221" t="s">
        <v>8</v>
      </c>
      <c r="D918" s="222">
        <v>12</v>
      </c>
      <c r="E918" s="223"/>
      <c r="F918" s="355"/>
      <c r="G918" s="360">
        <f t="shared" si="111"/>
        <v>0</v>
      </c>
    </row>
    <row r="919" spans="1:7" ht="12.75" x14ac:dyDescent="0.2">
      <c r="A919" s="351"/>
      <c r="B919" s="357" t="s">
        <v>397</v>
      </c>
      <c r="C919" s="221" t="s">
        <v>8</v>
      </c>
      <c r="D919" s="222">
        <v>3</v>
      </c>
      <c r="E919" s="223"/>
      <c r="F919" s="355"/>
      <c r="G919" s="360">
        <f t="shared" si="111"/>
        <v>0</v>
      </c>
    </row>
    <row r="920" spans="1:7" ht="12.75" x14ac:dyDescent="0.2">
      <c r="A920" s="351"/>
      <c r="B920" s="357" t="s">
        <v>334</v>
      </c>
      <c r="C920" s="353" t="s">
        <v>8</v>
      </c>
      <c r="D920" s="354">
        <v>2</v>
      </c>
      <c r="E920" s="223"/>
      <c r="F920" s="355"/>
      <c r="G920" s="360">
        <f t="shared" ref="G920:G924" si="113">+D920*E920+D920*F920</f>
        <v>0</v>
      </c>
    </row>
    <row r="921" spans="1:7" ht="12.75" x14ac:dyDescent="0.2">
      <c r="A921" s="351"/>
      <c r="B921" s="357" t="s">
        <v>467</v>
      </c>
      <c r="C921" s="353" t="s">
        <v>8</v>
      </c>
      <c r="D921" s="354">
        <v>15</v>
      </c>
      <c r="E921" s="223"/>
      <c r="F921" s="355"/>
      <c r="G921" s="360">
        <f t="shared" ref="G921:G922" si="114">+D921*E921+D921*F921</f>
        <v>0</v>
      </c>
    </row>
    <row r="922" spans="1:7" ht="12.75" x14ac:dyDescent="0.2">
      <c r="A922" s="351"/>
      <c r="B922" s="357" t="s">
        <v>396</v>
      </c>
      <c r="C922" s="353" t="s">
        <v>8</v>
      </c>
      <c r="D922" s="354">
        <v>3</v>
      </c>
      <c r="E922" s="223"/>
      <c r="F922" s="355"/>
      <c r="G922" s="360">
        <f t="shared" si="114"/>
        <v>0</v>
      </c>
    </row>
    <row r="923" spans="1:7" ht="12.75" x14ac:dyDescent="0.2">
      <c r="A923" s="351"/>
      <c r="B923" s="357" t="s">
        <v>335</v>
      </c>
      <c r="C923" s="353" t="s">
        <v>8</v>
      </c>
      <c r="D923" s="354">
        <v>12</v>
      </c>
      <c r="E923" s="223"/>
      <c r="F923" s="355"/>
      <c r="G923" s="360">
        <f t="shared" si="113"/>
        <v>0</v>
      </c>
    </row>
    <row r="924" spans="1:7" ht="12.75" x14ac:dyDescent="0.2">
      <c r="A924" s="351"/>
      <c r="B924" s="357" t="s">
        <v>468</v>
      </c>
      <c r="C924" s="221" t="s">
        <v>8</v>
      </c>
      <c r="D924" s="222">
        <v>5</v>
      </c>
      <c r="E924" s="223"/>
      <c r="F924" s="355"/>
      <c r="G924" s="360">
        <f t="shared" si="113"/>
        <v>0</v>
      </c>
    </row>
    <row r="925" spans="1:7" ht="12.75" x14ac:dyDescent="0.2">
      <c r="A925" s="351"/>
      <c r="B925" s="357" t="s">
        <v>336</v>
      </c>
      <c r="C925" s="221" t="s">
        <v>8</v>
      </c>
      <c r="D925" s="222">
        <v>1</v>
      </c>
      <c r="E925" s="223"/>
      <c r="F925" s="355"/>
      <c r="G925" s="360">
        <f t="shared" ref="G925:G927" si="115">+D925*E925+D925*F925</f>
        <v>0</v>
      </c>
    </row>
    <row r="926" spans="1:7" ht="12.75" x14ac:dyDescent="0.2">
      <c r="A926" s="351"/>
      <c r="B926" s="357" t="s">
        <v>337</v>
      </c>
      <c r="C926" s="221" t="s">
        <v>8</v>
      </c>
      <c r="D926" s="222">
        <v>2</v>
      </c>
      <c r="E926" s="223"/>
      <c r="F926" s="355"/>
      <c r="G926" s="360">
        <f t="shared" si="115"/>
        <v>0</v>
      </c>
    </row>
    <row r="927" spans="1:7" ht="12.75" x14ac:dyDescent="0.2">
      <c r="A927" s="351"/>
      <c r="B927" s="357" t="s">
        <v>338</v>
      </c>
      <c r="C927" s="221" t="s">
        <v>8</v>
      </c>
      <c r="D927" s="222">
        <v>6</v>
      </c>
      <c r="E927" s="223"/>
      <c r="F927" s="355"/>
      <c r="G927" s="360">
        <f t="shared" si="115"/>
        <v>0</v>
      </c>
    </row>
    <row r="928" spans="1:7" ht="12.75" x14ac:dyDescent="0.2">
      <c r="A928" s="351"/>
      <c r="B928" s="357" t="s">
        <v>339</v>
      </c>
      <c r="C928" s="221" t="s">
        <v>8</v>
      </c>
      <c r="D928" s="222">
        <f>D918</f>
        <v>12</v>
      </c>
      <c r="E928" s="223"/>
      <c r="F928" s="355"/>
      <c r="G928" s="360">
        <f t="shared" si="111"/>
        <v>0</v>
      </c>
    </row>
    <row r="929" spans="1:7" ht="12.75" x14ac:dyDescent="0.2">
      <c r="A929" s="351"/>
      <c r="B929" s="357" t="s">
        <v>340</v>
      </c>
      <c r="C929" s="221" t="s">
        <v>8</v>
      </c>
      <c r="D929" s="222">
        <v>3</v>
      </c>
      <c r="E929" s="223"/>
      <c r="F929" s="355"/>
      <c r="G929" s="360">
        <f t="shared" ref="G929" si="116">+D929*E929+D929*F929</f>
        <v>0</v>
      </c>
    </row>
    <row r="930" spans="1:7" ht="12.75" x14ac:dyDescent="0.2">
      <c r="A930" s="351"/>
      <c r="B930" s="357" t="s">
        <v>341</v>
      </c>
      <c r="C930" s="221" t="s">
        <v>8</v>
      </c>
      <c r="D930" s="222">
        <v>3</v>
      </c>
      <c r="E930" s="223"/>
      <c r="F930" s="355"/>
      <c r="G930" s="360">
        <f t="shared" si="111"/>
        <v>0</v>
      </c>
    </row>
    <row r="931" spans="1:7" ht="12.75" x14ac:dyDescent="0.2">
      <c r="A931" s="351"/>
      <c r="B931" s="357" t="s">
        <v>342</v>
      </c>
      <c r="C931" s="221" t="s">
        <v>8</v>
      </c>
      <c r="D931" s="222">
        <v>3</v>
      </c>
      <c r="E931" s="223"/>
      <c r="F931" s="355"/>
      <c r="G931" s="360">
        <f t="shared" ref="G931:G934" si="117">+D931*E931+D931*F931</f>
        <v>0</v>
      </c>
    </row>
    <row r="932" spans="1:7" ht="12.75" x14ac:dyDescent="0.2">
      <c r="A932" s="351"/>
      <c r="B932" s="357" t="s">
        <v>368</v>
      </c>
      <c r="C932" s="221" t="s">
        <v>8</v>
      </c>
      <c r="D932" s="222">
        <v>4</v>
      </c>
      <c r="E932" s="223"/>
      <c r="F932" s="355"/>
      <c r="G932" s="360">
        <f t="shared" si="117"/>
        <v>0</v>
      </c>
    </row>
    <row r="933" spans="1:7" ht="12.75" x14ac:dyDescent="0.2">
      <c r="A933" s="351"/>
      <c r="B933" s="357" t="s">
        <v>343</v>
      </c>
      <c r="C933" s="221" t="s">
        <v>8</v>
      </c>
      <c r="D933" s="222">
        <v>6</v>
      </c>
      <c r="E933" s="223"/>
      <c r="F933" s="355"/>
      <c r="G933" s="360">
        <f t="shared" si="117"/>
        <v>0</v>
      </c>
    </row>
    <row r="934" spans="1:7" ht="12.75" x14ac:dyDescent="0.2">
      <c r="A934" s="351"/>
      <c r="B934" s="357" t="s">
        <v>369</v>
      </c>
      <c r="C934" s="221" t="s">
        <v>8</v>
      </c>
      <c r="D934" s="222">
        <v>3</v>
      </c>
      <c r="E934" s="223"/>
      <c r="F934" s="355"/>
      <c r="G934" s="360">
        <f t="shared" si="117"/>
        <v>0</v>
      </c>
    </row>
    <row r="935" spans="1:7" ht="12.75" x14ac:dyDescent="0.2">
      <c r="A935" s="349" t="s">
        <v>177</v>
      </c>
      <c r="B935" s="350" t="s">
        <v>225</v>
      </c>
      <c r="C935" s="358"/>
      <c r="D935" s="359"/>
      <c r="E935" s="223"/>
      <c r="F935" s="355"/>
      <c r="G935" s="360">
        <f t="shared" si="111"/>
        <v>0</v>
      </c>
    </row>
    <row r="936" spans="1:7" ht="13.5" x14ac:dyDescent="0.2">
      <c r="A936" s="138" t="s">
        <v>164</v>
      </c>
      <c r="B936" s="267" t="s">
        <v>246</v>
      </c>
      <c r="C936" s="293" t="s">
        <v>226</v>
      </c>
      <c r="D936" s="141">
        <f>D915+D917+D918+D916+D919</f>
        <v>58</v>
      </c>
      <c r="E936" s="142"/>
      <c r="F936" s="355"/>
      <c r="G936" s="360">
        <f t="shared" si="111"/>
        <v>0</v>
      </c>
    </row>
    <row r="937" spans="1:7" ht="13.5" x14ac:dyDescent="0.2">
      <c r="A937" s="138" t="s">
        <v>165</v>
      </c>
      <c r="B937" s="267" t="s">
        <v>245</v>
      </c>
      <c r="C937" s="293" t="s">
        <v>226</v>
      </c>
      <c r="D937" s="141">
        <f>D920+D921+D922+D923</f>
        <v>32</v>
      </c>
      <c r="E937" s="142"/>
      <c r="F937" s="355"/>
      <c r="G937" s="360">
        <f t="shared" si="111"/>
        <v>0</v>
      </c>
    </row>
    <row r="938" spans="1:7" ht="13.5" x14ac:dyDescent="0.2">
      <c r="A938" s="138" t="s">
        <v>177</v>
      </c>
      <c r="B938" s="267" t="s">
        <v>247</v>
      </c>
      <c r="C938" s="293" t="s">
        <v>102</v>
      </c>
      <c r="D938" s="141">
        <f>D913</f>
        <v>1</v>
      </c>
      <c r="E938" s="142"/>
      <c r="F938" s="355"/>
      <c r="G938" s="360">
        <f t="shared" si="111"/>
        <v>0</v>
      </c>
    </row>
    <row r="939" spans="1:7" x14ac:dyDescent="0.2">
      <c r="A939" s="138" t="s">
        <v>178</v>
      </c>
      <c r="B939" s="267" t="s">
        <v>402</v>
      </c>
      <c r="C939" s="293" t="s">
        <v>102</v>
      </c>
      <c r="D939" s="141">
        <f>D931</f>
        <v>3</v>
      </c>
      <c r="E939" s="142"/>
      <c r="F939" s="355"/>
      <c r="G939" s="360">
        <f t="shared" si="111"/>
        <v>0</v>
      </c>
    </row>
    <row r="940" spans="1:7" x14ac:dyDescent="0.2">
      <c r="A940" s="138" t="s">
        <v>179</v>
      </c>
      <c r="B940" s="267" t="s">
        <v>401</v>
      </c>
      <c r="C940" s="293" t="s">
        <v>102</v>
      </c>
      <c r="D940" s="141">
        <f>D929</f>
        <v>3</v>
      </c>
      <c r="E940" s="142"/>
      <c r="F940" s="355"/>
      <c r="G940" s="360">
        <f t="shared" si="111"/>
        <v>0</v>
      </c>
    </row>
    <row r="941" spans="1:7" x14ac:dyDescent="0.2">
      <c r="A941" s="138" t="s">
        <v>180</v>
      </c>
      <c r="B941" s="267" t="s">
        <v>400</v>
      </c>
      <c r="C941" s="293" t="s">
        <v>102</v>
      </c>
      <c r="D941" s="141">
        <f>D930</f>
        <v>3</v>
      </c>
      <c r="E941" s="142"/>
      <c r="F941" s="355"/>
      <c r="G941" s="360">
        <f t="shared" ref="G941" si="118">+D941*E941+D941*F941</f>
        <v>0</v>
      </c>
    </row>
    <row r="942" spans="1:7" ht="12.75" customHeight="1" x14ac:dyDescent="0.2">
      <c r="A942" s="138" t="s">
        <v>181</v>
      </c>
      <c r="B942" s="267" t="s">
        <v>399</v>
      </c>
      <c r="C942" s="293" t="s">
        <v>102</v>
      </c>
      <c r="D942" s="141">
        <f>D931</f>
        <v>3</v>
      </c>
      <c r="E942" s="142"/>
      <c r="F942" s="355"/>
      <c r="G942" s="360">
        <f t="shared" ref="G942:G943" si="119">+D942*E942+D942*F942</f>
        <v>0</v>
      </c>
    </row>
    <row r="943" spans="1:7" x14ac:dyDescent="0.2">
      <c r="A943" s="138" t="s">
        <v>182</v>
      </c>
      <c r="B943" s="267" t="s">
        <v>403</v>
      </c>
      <c r="C943" s="293" t="s">
        <v>102</v>
      </c>
      <c r="D943" s="141">
        <f>D932</f>
        <v>4</v>
      </c>
      <c r="E943" s="142"/>
      <c r="F943" s="355"/>
      <c r="G943" s="360">
        <f t="shared" si="119"/>
        <v>0</v>
      </c>
    </row>
    <row r="944" spans="1:7" ht="12.75" thickBot="1" x14ac:dyDescent="0.25">
      <c r="A944" s="253"/>
      <c r="B944" s="339"/>
      <c r="C944" s="340"/>
      <c r="D944" s="254"/>
      <c r="E944" s="157"/>
      <c r="F944" s="361"/>
      <c r="G944" s="362"/>
    </row>
    <row r="945" spans="1:7" x14ac:dyDescent="0.2">
      <c r="A945" s="138"/>
      <c r="B945" s="267"/>
      <c r="C945" s="293"/>
      <c r="D945" s="141"/>
      <c r="E945" s="142"/>
      <c r="F945" s="355"/>
      <c r="G945" s="360"/>
    </row>
    <row r="946" spans="1:7" x14ac:dyDescent="0.2">
      <c r="A946" s="363" t="s">
        <v>150</v>
      </c>
      <c r="B946" s="364" t="s">
        <v>58</v>
      </c>
      <c r="C946" s="365"/>
      <c r="D946" s="366"/>
      <c r="E946" s="367"/>
      <c r="F946" s="368"/>
      <c r="G946" s="369"/>
    </row>
    <row r="947" spans="1:7" ht="12.75" x14ac:dyDescent="0.2">
      <c r="A947" s="349" t="s">
        <v>164</v>
      </c>
      <c r="B947" s="350" t="s">
        <v>223</v>
      </c>
      <c r="C947" s="221"/>
      <c r="D947" s="222"/>
      <c r="E947" s="223"/>
      <c r="F947" s="188"/>
      <c r="G947" s="189">
        <f>D947*E947</f>
        <v>0</v>
      </c>
    </row>
    <row r="948" spans="1:7" ht="25.5" x14ac:dyDescent="0.2">
      <c r="A948" s="351" t="s">
        <v>186</v>
      </c>
      <c r="B948" s="357" t="s">
        <v>244</v>
      </c>
      <c r="C948" s="353" t="s">
        <v>8</v>
      </c>
      <c r="D948" s="354">
        <v>1</v>
      </c>
      <c r="E948" s="223"/>
      <c r="F948" s="355"/>
      <c r="G948" s="356">
        <f t="shared" ref="G948:G977" si="120">+D948*E948+D948*F948</f>
        <v>0</v>
      </c>
    </row>
    <row r="949" spans="1:7" ht="12.75" x14ac:dyDescent="0.2">
      <c r="A949" s="349" t="s">
        <v>165</v>
      </c>
      <c r="B949" s="350" t="s">
        <v>224</v>
      </c>
      <c r="C949" s="358"/>
      <c r="D949" s="359"/>
      <c r="E949" s="223"/>
      <c r="F949" s="355"/>
      <c r="G949" s="360">
        <f t="shared" si="120"/>
        <v>0</v>
      </c>
    </row>
    <row r="950" spans="1:7" ht="12.75" x14ac:dyDescent="0.2">
      <c r="A950" s="351"/>
      <c r="B950" s="357" t="s">
        <v>332</v>
      </c>
      <c r="C950" s="221" t="s">
        <v>8</v>
      </c>
      <c r="D950" s="222">
        <v>24</v>
      </c>
      <c r="E950" s="223"/>
      <c r="F950" s="355"/>
      <c r="G950" s="360">
        <f t="shared" si="120"/>
        <v>0</v>
      </c>
    </row>
    <row r="951" spans="1:7" ht="12.75" x14ac:dyDescent="0.2">
      <c r="A951" s="351"/>
      <c r="B951" s="357" t="s">
        <v>333</v>
      </c>
      <c r="C951" s="221" t="s">
        <v>8</v>
      </c>
      <c r="D951" s="222">
        <v>12</v>
      </c>
      <c r="E951" s="223"/>
      <c r="F951" s="355"/>
      <c r="G951" s="360">
        <f t="shared" si="120"/>
        <v>0</v>
      </c>
    </row>
    <row r="952" spans="1:7" ht="12.75" x14ac:dyDescent="0.2">
      <c r="A952" s="351"/>
      <c r="B952" s="357" t="s">
        <v>268</v>
      </c>
      <c r="C952" s="221" t="s">
        <v>8</v>
      </c>
      <c r="D952" s="222">
        <v>12</v>
      </c>
      <c r="E952" s="223"/>
      <c r="F952" s="355"/>
      <c r="G952" s="360">
        <f t="shared" si="120"/>
        <v>0</v>
      </c>
    </row>
    <row r="953" spans="1:7" ht="12.75" x14ac:dyDescent="0.2">
      <c r="A953" s="351"/>
      <c r="B953" s="357" t="s">
        <v>398</v>
      </c>
      <c r="C953" s="221" t="s">
        <v>8</v>
      </c>
      <c r="D953" s="222">
        <v>3</v>
      </c>
      <c r="E953" s="223"/>
      <c r="F953" s="355"/>
      <c r="G953" s="360">
        <f t="shared" si="120"/>
        <v>0</v>
      </c>
    </row>
    <row r="954" spans="1:7" ht="12.75" x14ac:dyDescent="0.2">
      <c r="A954" s="351"/>
      <c r="B954" s="357" t="s">
        <v>334</v>
      </c>
      <c r="C954" s="353" t="s">
        <v>8</v>
      </c>
      <c r="D954" s="354">
        <v>1</v>
      </c>
      <c r="E954" s="223"/>
      <c r="F954" s="355"/>
      <c r="G954" s="360">
        <f t="shared" si="120"/>
        <v>0</v>
      </c>
    </row>
    <row r="955" spans="1:7" ht="12.75" x14ac:dyDescent="0.2">
      <c r="A955" s="351"/>
      <c r="B955" s="357" t="s">
        <v>467</v>
      </c>
      <c r="C955" s="353" t="s">
        <v>8</v>
      </c>
      <c r="D955" s="354">
        <v>15</v>
      </c>
      <c r="E955" s="223"/>
      <c r="F955" s="355"/>
      <c r="G955" s="360">
        <f t="shared" si="120"/>
        <v>0</v>
      </c>
    </row>
    <row r="956" spans="1:7" ht="12.75" x14ac:dyDescent="0.2">
      <c r="A956" s="351"/>
      <c r="B956" s="357" t="s">
        <v>396</v>
      </c>
      <c r="C956" s="353" t="s">
        <v>8</v>
      </c>
      <c r="D956" s="354">
        <v>3</v>
      </c>
      <c r="E956" s="223"/>
      <c r="F956" s="355"/>
      <c r="G956" s="360">
        <f t="shared" si="120"/>
        <v>0</v>
      </c>
    </row>
    <row r="957" spans="1:7" ht="12.75" x14ac:dyDescent="0.2">
      <c r="A957" s="351"/>
      <c r="B957" s="357" t="s">
        <v>335</v>
      </c>
      <c r="C957" s="353" t="s">
        <v>8</v>
      </c>
      <c r="D957" s="354">
        <v>12</v>
      </c>
      <c r="E957" s="223"/>
      <c r="F957" s="355"/>
      <c r="G957" s="360">
        <f t="shared" si="120"/>
        <v>0</v>
      </c>
    </row>
    <row r="958" spans="1:7" ht="12.75" x14ac:dyDescent="0.2">
      <c r="A958" s="351"/>
      <c r="B958" s="357" t="s">
        <v>468</v>
      </c>
      <c r="C958" s="221" t="s">
        <v>8</v>
      </c>
      <c r="D958" s="222">
        <v>4</v>
      </c>
      <c r="E958" s="223"/>
      <c r="F958" s="355"/>
      <c r="G958" s="360">
        <f t="shared" si="120"/>
        <v>0</v>
      </c>
    </row>
    <row r="959" spans="1:7" ht="12.75" x14ac:dyDescent="0.2">
      <c r="A959" s="351"/>
      <c r="B959" s="357" t="s">
        <v>336</v>
      </c>
      <c r="C959" s="221" t="s">
        <v>8</v>
      </c>
      <c r="D959" s="222">
        <v>1</v>
      </c>
      <c r="E959" s="223"/>
      <c r="F959" s="355"/>
      <c r="G959" s="360">
        <f t="shared" si="120"/>
        <v>0</v>
      </c>
    </row>
    <row r="960" spans="1:7" ht="12.75" x14ac:dyDescent="0.2">
      <c r="A960" s="351"/>
      <c r="B960" s="357" t="s">
        <v>337</v>
      </c>
      <c r="C960" s="221" t="s">
        <v>8</v>
      </c>
      <c r="D960" s="222">
        <v>2</v>
      </c>
      <c r="E960" s="223"/>
      <c r="F960" s="355"/>
      <c r="G960" s="360">
        <f t="shared" si="120"/>
        <v>0</v>
      </c>
    </row>
    <row r="961" spans="1:7" ht="12.75" x14ac:dyDescent="0.2">
      <c r="A961" s="351"/>
      <c r="B961" s="357" t="s">
        <v>338</v>
      </c>
      <c r="C961" s="221" t="s">
        <v>8</v>
      </c>
      <c r="D961" s="222">
        <v>6</v>
      </c>
      <c r="E961" s="223"/>
      <c r="F961" s="355"/>
      <c r="G961" s="360">
        <f t="shared" si="120"/>
        <v>0</v>
      </c>
    </row>
    <row r="962" spans="1:7" ht="12.75" x14ac:dyDescent="0.2">
      <c r="A962" s="351"/>
      <c r="B962" s="357" t="s">
        <v>339</v>
      </c>
      <c r="C962" s="221" t="s">
        <v>8</v>
      </c>
      <c r="D962" s="222">
        <f>D952</f>
        <v>12</v>
      </c>
      <c r="E962" s="223"/>
      <c r="F962" s="355"/>
      <c r="G962" s="360">
        <f t="shared" si="120"/>
        <v>0</v>
      </c>
    </row>
    <row r="963" spans="1:7" ht="12.75" x14ac:dyDescent="0.2">
      <c r="A963" s="351"/>
      <c r="B963" s="357" t="s">
        <v>340</v>
      </c>
      <c r="C963" s="221" t="s">
        <v>8</v>
      </c>
      <c r="D963" s="222">
        <v>3</v>
      </c>
      <c r="E963" s="223"/>
      <c r="F963" s="355"/>
      <c r="G963" s="360">
        <f t="shared" si="120"/>
        <v>0</v>
      </c>
    </row>
    <row r="964" spans="1:7" ht="12.75" x14ac:dyDescent="0.2">
      <c r="A964" s="351"/>
      <c r="B964" s="357" t="s">
        <v>341</v>
      </c>
      <c r="C964" s="221" t="s">
        <v>8</v>
      </c>
      <c r="D964" s="222">
        <v>3</v>
      </c>
      <c r="E964" s="223"/>
      <c r="F964" s="355"/>
      <c r="G964" s="360">
        <f t="shared" si="120"/>
        <v>0</v>
      </c>
    </row>
    <row r="965" spans="1:7" ht="12.75" x14ac:dyDescent="0.2">
      <c r="A965" s="351"/>
      <c r="B965" s="357" t="s">
        <v>342</v>
      </c>
      <c r="C965" s="221" t="s">
        <v>8</v>
      </c>
      <c r="D965" s="222">
        <v>3</v>
      </c>
      <c r="E965" s="223"/>
      <c r="F965" s="355"/>
      <c r="G965" s="360">
        <f t="shared" si="120"/>
        <v>0</v>
      </c>
    </row>
    <row r="966" spans="1:7" ht="12.75" x14ac:dyDescent="0.2">
      <c r="A966" s="351"/>
      <c r="B966" s="357" t="s">
        <v>368</v>
      </c>
      <c r="C966" s="221" t="s">
        <v>8</v>
      </c>
      <c r="D966" s="222">
        <v>4</v>
      </c>
      <c r="E966" s="223"/>
      <c r="F966" s="355"/>
      <c r="G966" s="360">
        <f t="shared" si="120"/>
        <v>0</v>
      </c>
    </row>
    <row r="967" spans="1:7" ht="12.75" x14ac:dyDescent="0.2">
      <c r="A967" s="351"/>
      <c r="B967" s="357" t="s">
        <v>343</v>
      </c>
      <c r="C967" s="221" t="s">
        <v>8</v>
      </c>
      <c r="D967" s="222">
        <v>6</v>
      </c>
      <c r="E967" s="223"/>
      <c r="F967" s="355"/>
      <c r="G967" s="360">
        <f t="shared" si="120"/>
        <v>0</v>
      </c>
    </row>
    <row r="968" spans="1:7" ht="12.75" x14ac:dyDescent="0.2">
      <c r="A968" s="351"/>
      <c r="B968" s="357" t="s">
        <v>369</v>
      </c>
      <c r="C968" s="221" t="s">
        <v>8</v>
      </c>
      <c r="D968" s="222">
        <v>3</v>
      </c>
      <c r="E968" s="223"/>
      <c r="F968" s="355"/>
      <c r="G968" s="360">
        <f t="shared" si="120"/>
        <v>0</v>
      </c>
    </row>
    <row r="969" spans="1:7" ht="12.75" x14ac:dyDescent="0.2">
      <c r="A969" s="349" t="s">
        <v>177</v>
      </c>
      <c r="B969" s="350" t="s">
        <v>225</v>
      </c>
      <c r="C969" s="358"/>
      <c r="D969" s="359"/>
      <c r="E969" s="223"/>
      <c r="F969" s="355"/>
      <c r="G969" s="360">
        <f t="shared" si="120"/>
        <v>0</v>
      </c>
    </row>
    <row r="970" spans="1:7" ht="13.5" x14ac:dyDescent="0.2">
      <c r="A970" s="138"/>
      <c r="B970" s="267" t="s">
        <v>246</v>
      </c>
      <c r="C970" s="293" t="s">
        <v>226</v>
      </c>
      <c r="D970" s="141">
        <f>D949+D951+D952+D950+D953</f>
        <v>51</v>
      </c>
      <c r="E970" s="142"/>
      <c r="F970" s="355"/>
      <c r="G970" s="360">
        <f t="shared" si="120"/>
        <v>0</v>
      </c>
    </row>
    <row r="971" spans="1:7" ht="13.5" x14ac:dyDescent="0.2">
      <c r="A971" s="138"/>
      <c r="B971" s="267" t="s">
        <v>245</v>
      </c>
      <c r="C971" s="293" t="s">
        <v>226</v>
      </c>
      <c r="D971" s="141">
        <f>D954+D955+D956+D957</f>
        <v>31</v>
      </c>
      <c r="E971" s="142"/>
      <c r="F971" s="355"/>
      <c r="G971" s="360">
        <f t="shared" si="120"/>
        <v>0</v>
      </c>
    </row>
    <row r="972" spans="1:7" ht="13.5" x14ac:dyDescent="0.2">
      <c r="A972" s="138"/>
      <c r="B972" s="267" t="s">
        <v>247</v>
      </c>
      <c r="C972" s="293" t="s">
        <v>102</v>
      </c>
      <c r="D972" s="141">
        <f>D948</f>
        <v>1</v>
      </c>
      <c r="E972" s="142"/>
      <c r="F972" s="355"/>
      <c r="G972" s="360">
        <f t="shared" si="120"/>
        <v>0</v>
      </c>
    </row>
    <row r="973" spans="1:7" x14ac:dyDescent="0.2">
      <c r="A973" s="138"/>
      <c r="B973" s="267" t="s">
        <v>402</v>
      </c>
      <c r="C973" s="293" t="s">
        <v>102</v>
      </c>
      <c r="D973" s="141">
        <f>D965</f>
        <v>3</v>
      </c>
      <c r="E973" s="142"/>
      <c r="F973" s="355"/>
      <c r="G973" s="360">
        <f t="shared" si="120"/>
        <v>0</v>
      </c>
    </row>
    <row r="974" spans="1:7" x14ac:dyDescent="0.2">
      <c r="A974" s="138"/>
      <c r="B974" s="267" t="s">
        <v>401</v>
      </c>
      <c r="C974" s="293" t="s">
        <v>102</v>
      </c>
      <c r="D974" s="141">
        <f>D963</f>
        <v>3</v>
      </c>
      <c r="E974" s="142"/>
      <c r="F974" s="355"/>
      <c r="G974" s="360">
        <f t="shared" si="120"/>
        <v>0</v>
      </c>
    </row>
    <row r="975" spans="1:7" x14ac:dyDescent="0.2">
      <c r="A975" s="138"/>
      <c r="B975" s="267" t="s">
        <v>400</v>
      </c>
      <c r="C975" s="293" t="s">
        <v>102</v>
      </c>
      <c r="D975" s="141">
        <f>D964</f>
        <v>3</v>
      </c>
      <c r="E975" s="142"/>
      <c r="F975" s="355"/>
      <c r="G975" s="360">
        <f t="shared" si="120"/>
        <v>0</v>
      </c>
    </row>
    <row r="976" spans="1:7" ht="12" customHeight="1" x14ac:dyDescent="0.2">
      <c r="A976" s="138"/>
      <c r="B976" s="267" t="s">
        <v>399</v>
      </c>
      <c r="C976" s="293" t="s">
        <v>102</v>
      </c>
      <c r="D976" s="141">
        <f>D965</f>
        <v>3</v>
      </c>
      <c r="E976" s="142"/>
      <c r="F976" s="355"/>
      <c r="G976" s="360">
        <f t="shared" si="120"/>
        <v>0</v>
      </c>
    </row>
    <row r="977" spans="1:7" x14ac:dyDescent="0.2">
      <c r="A977" s="138"/>
      <c r="B977" s="267" t="s">
        <v>403</v>
      </c>
      <c r="C977" s="293" t="s">
        <v>102</v>
      </c>
      <c r="D977" s="141">
        <f>D966</f>
        <v>4</v>
      </c>
      <c r="E977" s="142"/>
      <c r="F977" s="355"/>
      <c r="G977" s="360">
        <f t="shared" si="120"/>
        <v>0</v>
      </c>
    </row>
    <row r="978" spans="1:7" x14ac:dyDescent="0.2">
      <c r="A978" s="138"/>
      <c r="B978" s="267"/>
      <c r="C978" s="293"/>
      <c r="D978" s="141"/>
      <c r="E978" s="142"/>
      <c r="F978" s="355"/>
      <c r="G978" s="360"/>
    </row>
    <row r="979" spans="1:7" x14ac:dyDescent="0.2">
      <c r="A979" s="363" t="s">
        <v>50</v>
      </c>
      <c r="B979" s="364" t="s">
        <v>415</v>
      </c>
      <c r="C979" s="365"/>
      <c r="D979" s="366"/>
      <c r="E979" s="367"/>
      <c r="F979" s="368"/>
      <c r="G979" s="369"/>
    </row>
    <row r="980" spans="1:7" ht="12.75" x14ac:dyDescent="0.2">
      <c r="A980" s="349" t="s">
        <v>164</v>
      </c>
      <c r="B980" s="350" t="s">
        <v>223</v>
      </c>
      <c r="C980" s="221"/>
      <c r="D980" s="222"/>
      <c r="E980" s="223"/>
      <c r="F980" s="188"/>
      <c r="G980" s="189">
        <f>D980*E980</f>
        <v>0</v>
      </c>
    </row>
    <row r="981" spans="1:7" ht="25.5" x14ac:dyDescent="0.2">
      <c r="A981" s="351" t="s">
        <v>186</v>
      </c>
      <c r="B981" s="357" t="s">
        <v>244</v>
      </c>
      <c r="C981" s="353" t="s">
        <v>8</v>
      </c>
      <c r="D981" s="354">
        <v>1</v>
      </c>
      <c r="E981" s="223"/>
      <c r="F981" s="355"/>
      <c r="G981" s="356">
        <f t="shared" ref="G981:G1010" si="121">+D981*E981+D981*F981</f>
        <v>0</v>
      </c>
    </row>
    <row r="982" spans="1:7" ht="12.75" x14ac:dyDescent="0.2">
      <c r="A982" s="349" t="s">
        <v>165</v>
      </c>
      <c r="B982" s="350" t="s">
        <v>224</v>
      </c>
      <c r="C982" s="358"/>
      <c r="D982" s="359"/>
      <c r="E982" s="223"/>
      <c r="F982" s="355"/>
      <c r="G982" s="360">
        <f t="shared" si="121"/>
        <v>0</v>
      </c>
    </row>
    <row r="983" spans="1:7" ht="12.75" x14ac:dyDescent="0.2">
      <c r="A983" s="351"/>
      <c r="B983" s="357" t="s">
        <v>332</v>
      </c>
      <c r="C983" s="221" t="s">
        <v>8</v>
      </c>
      <c r="D983" s="222">
        <v>24</v>
      </c>
      <c r="E983" s="223"/>
      <c r="F983" s="355"/>
      <c r="G983" s="360">
        <f t="shared" si="121"/>
        <v>0</v>
      </c>
    </row>
    <row r="984" spans="1:7" ht="12.75" x14ac:dyDescent="0.2">
      <c r="A984" s="351"/>
      <c r="B984" s="357" t="s">
        <v>333</v>
      </c>
      <c r="C984" s="221" t="s">
        <v>8</v>
      </c>
      <c r="D984" s="222">
        <v>12</v>
      </c>
      <c r="E984" s="223"/>
      <c r="F984" s="355"/>
      <c r="G984" s="360">
        <f t="shared" si="121"/>
        <v>0</v>
      </c>
    </row>
    <row r="985" spans="1:7" ht="12.75" x14ac:dyDescent="0.2">
      <c r="A985" s="351"/>
      <c r="B985" s="357" t="s">
        <v>268</v>
      </c>
      <c r="C985" s="221" t="s">
        <v>8</v>
      </c>
      <c r="D985" s="222">
        <v>12</v>
      </c>
      <c r="E985" s="223"/>
      <c r="F985" s="355"/>
      <c r="G985" s="360">
        <f t="shared" si="121"/>
        <v>0</v>
      </c>
    </row>
    <row r="986" spans="1:7" ht="12.75" x14ac:dyDescent="0.2">
      <c r="A986" s="351"/>
      <c r="B986" s="357" t="s">
        <v>398</v>
      </c>
      <c r="C986" s="221" t="s">
        <v>8</v>
      </c>
      <c r="D986" s="222">
        <v>3</v>
      </c>
      <c r="E986" s="223"/>
      <c r="F986" s="355"/>
      <c r="G986" s="360">
        <f t="shared" si="121"/>
        <v>0</v>
      </c>
    </row>
    <row r="987" spans="1:7" ht="12.75" x14ac:dyDescent="0.2">
      <c r="A987" s="351"/>
      <c r="B987" s="357" t="s">
        <v>334</v>
      </c>
      <c r="C987" s="353" t="s">
        <v>8</v>
      </c>
      <c r="D987" s="354">
        <v>0</v>
      </c>
      <c r="E987" s="223"/>
      <c r="F987" s="355"/>
      <c r="G987" s="360">
        <f t="shared" si="121"/>
        <v>0</v>
      </c>
    </row>
    <row r="988" spans="1:7" ht="12.75" x14ac:dyDescent="0.2">
      <c r="A988" s="351"/>
      <c r="B988" s="357" t="s">
        <v>467</v>
      </c>
      <c r="C988" s="353" t="s">
        <v>8</v>
      </c>
      <c r="D988" s="354">
        <v>15</v>
      </c>
      <c r="E988" s="223"/>
      <c r="F988" s="355"/>
      <c r="G988" s="360">
        <f t="shared" si="121"/>
        <v>0</v>
      </c>
    </row>
    <row r="989" spans="1:7" ht="12.75" x14ac:dyDescent="0.2">
      <c r="A989" s="351"/>
      <c r="B989" s="357" t="s">
        <v>396</v>
      </c>
      <c r="C989" s="353" t="s">
        <v>8</v>
      </c>
      <c r="D989" s="354">
        <v>3</v>
      </c>
      <c r="E989" s="223"/>
      <c r="F989" s="355"/>
      <c r="G989" s="360">
        <f t="shared" si="121"/>
        <v>0</v>
      </c>
    </row>
    <row r="990" spans="1:7" ht="12.75" x14ac:dyDescent="0.2">
      <c r="A990" s="351"/>
      <c r="B990" s="357" t="s">
        <v>335</v>
      </c>
      <c r="C990" s="353" t="s">
        <v>8</v>
      </c>
      <c r="D990" s="354">
        <v>12</v>
      </c>
      <c r="E990" s="223"/>
      <c r="F990" s="355"/>
      <c r="G990" s="360">
        <f t="shared" si="121"/>
        <v>0</v>
      </c>
    </row>
    <row r="991" spans="1:7" ht="12.75" x14ac:dyDescent="0.2">
      <c r="A991" s="351"/>
      <c r="B991" s="357" t="s">
        <v>468</v>
      </c>
      <c r="C991" s="221" t="s">
        <v>8</v>
      </c>
      <c r="D991" s="222">
        <v>4</v>
      </c>
      <c r="E991" s="223"/>
      <c r="F991" s="355"/>
      <c r="G991" s="360">
        <f t="shared" si="121"/>
        <v>0</v>
      </c>
    </row>
    <row r="992" spans="1:7" ht="12.75" x14ac:dyDescent="0.2">
      <c r="A992" s="351"/>
      <c r="B992" s="357" t="s">
        <v>336</v>
      </c>
      <c r="C992" s="221" t="s">
        <v>8</v>
      </c>
      <c r="D992" s="222">
        <v>1</v>
      </c>
      <c r="E992" s="223"/>
      <c r="F992" s="355"/>
      <c r="G992" s="360">
        <f t="shared" si="121"/>
        <v>0</v>
      </c>
    </row>
    <row r="993" spans="1:7" ht="12.75" x14ac:dyDescent="0.2">
      <c r="A993" s="351"/>
      <c r="B993" s="357" t="s">
        <v>337</v>
      </c>
      <c r="C993" s="221" t="s">
        <v>8</v>
      </c>
      <c r="D993" s="222">
        <v>2</v>
      </c>
      <c r="E993" s="223"/>
      <c r="F993" s="355"/>
      <c r="G993" s="360">
        <f t="shared" si="121"/>
        <v>0</v>
      </c>
    </row>
    <row r="994" spans="1:7" ht="12.75" x14ac:dyDescent="0.2">
      <c r="A994" s="351"/>
      <c r="B994" s="357" t="s">
        <v>338</v>
      </c>
      <c r="C994" s="221" t="s">
        <v>8</v>
      </c>
      <c r="D994" s="222">
        <v>6</v>
      </c>
      <c r="E994" s="223"/>
      <c r="F994" s="355"/>
      <c r="G994" s="360">
        <f t="shared" si="121"/>
        <v>0</v>
      </c>
    </row>
    <row r="995" spans="1:7" ht="12.75" x14ac:dyDescent="0.2">
      <c r="A995" s="351"/>
      <c r="B995" s="357" t="s">
        <v>339</v>
      </c>
      <c r="C995" s="221" t="s">
        <v>8</v>
      </c>
      <c r="D995" s="222">
        <f>D985</f>
        <v>12</v>
      </c>
      <c r="E995" s="223"/>
      <c r="F995" s="355"/>
      <c r="G995" s="360">
        <f t="shared" si="121"/>
        <v>0</v>
      </c>
    </row>
    <row r="996" spans="1:7" ht="12.75" x14ac:dyDescent="0.2">
      <c r="A996" s="351"/>
      <c r="B996" s="357" t="s">
        <v>340</v>
      </c>
      <c r="C996" s="221" t="s">
        <v>8</v>
      </c>
      <c r="D996" s="222">
        <v>3</v>
      </c>
      <c r="E996" s="223"/>
      <c r="F996" s="355"/>
      <c r="G996" s="360">
        <f t="shared" si="121"/>
        <v>0</v>
      </c>
    </row>
    <row r="997" spans="1:7" ht="12.75" x14ac:dyDescent="0.2">
      <c r="A997" s="351"/>
      <c r="B997" s="357" t="s">
        <v>341</v>
      </c>
      <c r="C997" s="221" t="s">
        <v>8</v>
      </c>
      <c r="D997" s="222">
        <v>3</v>
      </c>
      <c r="E997" s="223"/>
      <c r="F997" s="355"/>
      <c r="G997" s="360">
        <f t="shared" si="121"/>
        <v>0</v>
      </c>
    </row>
    <row r="998" spans="1:7" ht="13.5" thickBot="1" x14ac:dyDescent="0.25">
      <c r="A998" s="542"/>
      <c r="B998" s="543" t="s">
        <v>342</v>
      </c>
      <c r="C998" s="446" t="s">
        <v>8</v>
      </c>
      <c r="D998" s="447">
        <v>3</v>
      </c>
      <c r="E998" s="544"/>
      <c r="F998" s="361"/>
      <c r="G998" s="362">
        <f t="shared" si="121"/>
        <v>0</v>
      </c>
    </row>
    <row r="999" spans="1:7" ht="12.75" x14ac:dyDescent="0.2">
      <c r="A999" s="351"/>
      <c r="B999" s="357" t="s">
        <v>368</v>
      </c>
      <c r="C999" s="221" t="s">
        <v>8</v>
      </c>
      <c r="D999" s="222">
        <v>4</v>
      </c>
      <c r="E999" s="223"/>
      <c r="F999" s="355"/>
      <c r="G999" s="360">
        <f t="shared" si="121"/>
        <v>0</v>
      </c>
    </row>
    <row r="1000" spans="1:7" ht="12.75" x14ac:dyDescent="0.2">
      <c r="A1000" s="351"/>
      <c r="B1000" s="357" t="s">
        <v>343</v>
      </c>
      <c r="C1000" s="221" t="s">
        <v>8</v>
      </c>
      <c r="D1000" s="222">
        <v>6</v>
      </c>
      <c r="E1000" s="223"/>
      <c r="F1000" s="355"/>
      <c r="G1000" s="360">
        <f t="shared" si="121"/>
        <v>0</v>
      </c>
    </row>
    <row r="1001" spans="1:7" ht="12.75" x14ac:dyDescent="0.2">
      <c r="A1001" s="351"/>
      <c r="B1001" s="357" t="s">
        <v>369</v>
      </c>
      <c r="C1001" s="221" t="s">
        <v>8</v>
      </c>
      <c r="D1001" s="222">
        <v>3</v>
      </c>
      <c r="E1001" s="223"/>
      <c r="F1001" s="355"/>
      <c r="G1001" s="360">
        <f t="shared" si="121"/>
        <v>0</v>
      </c>
    </row>
    <row r="1002" spans="1:7" ht="12.75" x14ac:dyDescent="0.2">
      <c r="A1002" s="349" t="s">
        <v>177</v>
      </c>
      <c r="B1002" s="350" t="s">
        <v>225</v>
      </c>
      <c r="C1002" s="358"/>
      <c r="D1002" s="359"/>
      <c r="E1002" s="223"/>
      <c r="F1002" s="355"/>
      <c r="G1002" s="360">
        <f t="shared" si="121"/>
        <v>0</v>
      </c>
    </row>
    <row r="1003" spans="1:7" ht="13.5" x14ac:dyDescent="0.2">
      <c r="A1003" s="138"/>
      <c r="B1003" s="267" t="s">
        <v>246</v>
      </c>
      <c r="C1003" s="293" t="s">
        <v>226</v>
      </c>
      <c r="D1003" s="141">
        <f>D982+D984+D985+D983+D986</f>
        <v>51</v>
      </c>
      <c r="E1003" s="142"/>
      <c r="F1003" s="355"/>
      <c r="G1003" s="360">
        <f t="shared" si="121"/>
        <v>0</v>
      </c>
    </row>
    <row r="1004" spans="1:7" ht="13.5" x14ac:dyDescent="0.2">
      <c r="A1004" s="138"/>
      <c r="B1004" s="267" t="s">
        <v>245</v>
      </c>
      <c r="C1004" s="293" t="s">
        <v>226</v>
      </c>
      <c r="D1004" s="141">
        <f>D987+D988+D989+D990</f>
        <v>30</v>
      </c>
      <c r="E1004" s="142"/>
      <c r="F1004" s="355"/>
      <c r="G1004" s="360">
        <f t="shared" si="121"/>
        <v>0</v>
      </c>
    </row>
    <row r="1005" spans="1:7" ht="13.5" x14ac:dyDescent="0.2">
      <c r="A1005" s="138"/>
      <c r="B1005" s="267" t="s">
        <v>247</v>
      </c>
      <c r="C1005" s="293" t="s">
        <v>102</v>
      </c>
      <c r="D1005" s="141">
        <f>D981</f>
        <v>1</v>
      </c>
      <c r="E1005" s="142"/>
      <c r="F1005" s="355"/>
      <c r="G1005" s="360">
        <f t="shared" si="121"/>
        <v>0</v>
      </c>
    </row>
    <row r="1006" spans="1:7" x14ac:dyDescent="0.2">
      <c r="A1006" s="138"/>
      <c r="B1006" s="267" t="s">
        <v>402</v>
      </c>
      <c r="C1006" s="293" t="s">
        <v>102</v>
      </c>
      <c r="D1006" s="141">
        <f>D998</f>
        <v>3</v>
      </c>
      <c r="E1006" s="142"/>
      <c r="F1006" s="355"/>
      <c r="G1006" s="360">
        <f t="shared" si="121"/>
        <v>0</v>
      </c>
    </row>
    <row r="1007" spans="1:7" x14ac:dyDescent="0.2">
      <c r="A1007" s="138"/>
      <c r="B1007" s="267" t="s">
        <v>401</v>
      </c>
      <c r="C1007" s="293" t="s">
        <v>102</v>
      </c>
      <c r="D1007" s="141">
        <f>D996</f>
        <v>3</v>
      </c>
      <c r="E1007" s="142"/>
      <c r="F1007" s="355"/>
      <c r="G1007" s="360">
        <f t="shared" si="121"/>
        <v>0</v>
      </c>
    </row>
    <row r="1008" spans="1:7" x14ac:dyDescent="0.2">
      <c r="A1008" s="138"/>
      <c r="B1008" s="267" t="s">
        <v>400</v>
      </c>
      <c r="C1008" s="293" t="s">
        <v>102</v>
      </c>
      <c r="D1008" s="141">
        <f>D997</f>
        <v>3</v>
      </c>
      <c r="E1008" s="142"/>
      <c r="F1008" s="355"/>
      <c r="G1008" s="360">
        <f t="shared" si="121"/>
        <v>0</v>
      </c>
    </row>
    <row r="1009" spans="1:9" x14ac:dyDescent="0.2">
      <c r="A1009" s="138"/>
      <c r="B1009" s="267" t="s">
        <v>399</v>
      </c>
      <c r="C1009" s="293" t="s">
        <v>102</v>
      </c>
      <c r="D1009" s="141">
        <f>D998</f>
        <v>3</v>
      </c>
      <c r="E1009" s="142"/>
      <c r="F1009" s="355"/>
      <c r="G1009" s="360">
        <f t="shared" si="121"/>
        <v>0</v>
      </c>
    </row>
    <row r="1010" spans="1:9" x14ac:dyDescent="0.2">
      <c r="A1010" s="138"/>
      <c r="B1010" s="267" t="s">
        <v>403</v>
      </c>
      <c r="C1010" s="293" t="s">
        <v>102</v>
      </c>
      <c r="D1010" s="141">
        <f>D999</f>
        <v>4</v>
      </c>
      <c r="E1010" s="142"/>
      <c r="F1010" s="355"/>
      <c r="G1010" s="360">
        <f t="shared" si="121"/>
        <v>0</v>
      </c>
    </row>
    <row r="1011" spans="1:9" ht="12.75" x14ac:dyDescent="0.2">
      <c r="A1011" s="351"/>
      <c r="B1011" s="357"/>
      <c r="C1011" s="353"/>
      <c r="D1011" s="354"/>
      <c r="E1011" s="223"/>
      <c r="F1011" s="355"/>
      <c r="G1011" s="360"/>
    </row>
    <row r="1012" spans="1:9" ht="12.75" x14ac:dyDescent="0.2">
      <c r="A1012" s="351"/>
      <c r="B1012" s="357"/>
      <c r="C1012" s="353"/>
      <c r="D1012" s="354"/>
      <c r="E1012" s="223"/>
      <c r="F1012" s="355"/>
      <c r="G1012" s="360"/>
    </row>
    <row r="1013" spans="1:9" ht="12.75" x14ac:dyDescent="0.2">
      <c r="A1013" s="351"/>
      <c r="B1013" s="357"/>
      <c r="C1013" s="353"/>
      <c r="D1013" s="354"/>
      <c r="E1013" s="223"/>
      <c r="F1013" s="355"/>
      <c r="G1013" s="360"/>
    </row>
    <row r="1014" spans="1:9" ht="12.75" x14ac:dyDescent="0.2">
      <c r="A1014" s="351"/>
      <c r="B1014" s="357"/>
      <c r="C1014" s="353"/>
      <c r="D1014" s="354"/>
      <c r="E1014" s="223"/>
      <c r="F1014" s="355"/>
      <c r="G1014" s="360"/>
    </row>
    <row r="1015" spans="1:9" ht="12.75" x14ac:dyDescent="0.2">
      <c r="A1015" s="351"/>
      <c r="B1015" s="357"/>
      <c r="C1015" s="353"/>
      <c r="D1015" s="354"/>
      <c r="E1015" s="223"/>
      <c r="F1015" s="355"/>
      <c r="G1015" s="360"/>
    </row>
    <row r="1016" spans="1:9" ht="12.75" x14ac:dyDescent="0.2">
      <c r="A1016" s="351"/>
      <c r="B1016" s="357"/>
      <c r="C1016" s="353"/>
      <c r="D1016" s="354"/>
      <c r="E1016" s="223"/>
      <c r="F1016" s="355"/>
      <c r="G1016" s="360"/>
    </row>
    <row r="1017" spans="1:9" ht="12.75" x14ac:dyDescent="0.2">
      <c r="A1017" s="351"/>
      <c r="B1017" s="357"/>
      <c r="C1017" s="353"/>
      <c r="D1017" s="354"/>
      <c r="E1017" s="223"/>
      <c r="F1017" s="355"/>
      <c r="G1017" s="360"/>
    </row>
    <row r="1018" spans="1:9" ht="12.75" x14ac:dyDescent="0.2">
      <c r="A1018" s="351"/>
      <c r="B1018" s="357"/>
      <c r="C1018" s="353"/>
      <c r="D1018" s="354"/>
      <c r="E1018" s="223"/>
      <c r="F1018" s="355"/>
      <c r="G1018" s="360"/>
    </row>
    <row r="1019" spans="1:9" ht="12.75" x14ac:dyDescent="0.2">
      <c r="A1019" s="351"/>
      <c r="B1019" s="357"/>
      <c r="C1019" s="353"/>
      <c r="D1019" s="354"/>
      <c r="E1019" s="223"/>
      <c r="F1019" s="355"/>
      <c r="G1019" s="360"/>
    </row>
    <row r="1020" spans="1:9" ht="12.75" x14ac:dyDescent="0.2">
      <c r="A1020" s="351"/>
      <c r="B1020" s="357"/>
      <c r="C1020" s="353"/>
      <c r="D1020" s="354"/>
      <c r="E1020" s="223"/>
      <c r="F1020" s="355"/>
      <c r="G1020" s="360"/>
    </row>
    <row r="1021" spans="1:9" ht="13.5" thickBot="1" x14ac:dyDescent="0.25">
      <c r="A1021" s="351"/>
      <c r="B1021" s="357"/>
      <c r="C1021" s="353"/>
      <c r="D1021" s="354"/>
      <c r="E1021" s="223"/>
      <c r="F1021" s="355"/>
      <c r="G1021" s="360"/>
    </row>
    <row r="1022" spans="1:9" x14ac:dyDescent="0.2">
      <c r="A1022" s="114"/>
      <c r="B1022" s="115" t="s">
        <v>184</v>
      </c>
      <c r="C1022" s="370"/>
      <c r="D1022" s="371"/>
      <c r="E1022" s="372"/>
      <c r="F1022" s="210"/>
      <c r="G1022" s="167"/>
    </row>
    <row r="1023" spans="1:9" ht="12.75" thickBot="1" x14ac:dyDescent="0.25">
      <c r="A1023" s="120"/>
      <c r="B1023" s="103" t="s">
        <v>129</v>
      </c>
      <c r="C1023" s="104"/>
      <c r="D1023" s="129"/>
      <c r="E1023" s="106"/>
      <c r="F1023" s="211"/>
      <c r="G1023" s="107">
        <f>SUM(G912:G1022)</f>
        <v>0</v>
      </c>
      <c r="I1023" s="48"/>
    </row>
    <row r="1024" spans="1:9" x14ac:dyDescent="0.2">
      <c r="A1024" s="114"/>
      <c r="B1024" s="115"/>
      <c r="C1024" s="370"/>
      <c r="D1024" s="371"/>
      <c r="E1024" s="372"/>
      <c r="F1024" s="166"/>
      <c r="G1024" s="373"/>
      <c r="I1024" s="48"/>
    </row>
    <row r="1025" spans="1:7" x14ac:dyDescent="0.2">
      <c r="A1025" s="100"/>
      <c r="B1025" s="76" t="s">
        <v>350</v>
      </c>
      <c r="C1025" s="63"/>
      <c r="D1025" s="75"/>
      <c r="E1025" s="61"/>
      <c r="F1025" s="46"/>
      <c r="G1025" s="64"/>
    </row>
    <row r="1026" spans="1:7" x14ac:dyDescent="0.2">
      <c r="A1026" s="100"/>
      <c r="B1026" s="59" t="s">
        <v>349</v>
      </c>
      <c r="C1026" s="63"/>
      <c r="D1026" s="75"/>
      <c r="E1026" s="61"/>
      <c r="F1026" s="46"/>
      <c r="G1026" s="64"/>
    </row>
    <row r="1027" spans="1:7" x14ac:dyDescent="0.2">
      <c r="A1027" s="526">
        <v>12.1</v>
      </c>
      <c r="B1027" s="527" t="s">
        <v>351</v>
      </c>
      <c r="C1027" s="528"/>
      <c r="D1027" s="529"/>
      <c r="E1027" s="464"/>
      <c r="F1027" s="530"/>
      <c r="G1027" s="531"/>
    </row>
    <row r="1028" spans="1:7" ht="42" customHeight="1" x14ac:dyDescent="0.2">
      <c r="A1028" s="100"/>
      <c r="B1028" s="620" t="s">
        <v>352</v>
      </c>
      <c r="C1028" s="621"/>
      <c r="D1028" s="621"/>
      <c r="E1028" s="621"/>
      <c r="F1028" s="622"/>
      <c r="G1028" s="64"/>
    </row>
    <row r="1029" spans="1:7" ht="14.25" customHeight="1" x14ac:dyDescent="0.2">
      <c r="A1029" s="100"/>
      <c r="B1029" s="620" t="s">
        <v>353</v>
      </c>
      <c r="C1029" s="621"/>
      <c r="D1029" s="621"/>
      <c r="E1029" s="621"/>
      <c r="F1029" s="622"/>
      <c r="G1029" s="64"/>
    </row>
    <row r="1030" spans="1:7" ht="15.75" customHeight="1" x14ac:dyDescent="0.2">
      <c r="A1030" s="100"/>
      <c r="B1030" s="620" t="s">
        <v>354</v>
      </c>
      <c r="C1030" s="621"/>
      <c r="D1030" s="621"/>
      <c r="E1030" s="621"/>
      <c r="F1030" s="622"/>
      <c r="G1030" s="64"/>
    </row>
    <row r="1031" spans="1:7" ht="26.25" customHeight="1" thickBot="1" x14ac:dyDescent="0.25">
      <c r="A1031" s="102"/>
      <c r="B1031" s="623" t="s">
        <v>355</v>
      </c>
      <c r="C1031" s="624"/>
      <c r="D1031" s="624"/>
      <c r="E1031" s="624"/>
      <c r="F1031" s="625"/>
      <c r="G1031" s="130"/>
    </row>
    <row r="1032" spans="1:7" x14ac:dyDescent="0.2">
      <c r="A1032" s="375">
        <v>12.2</v>
      </c>
      <c r="B1032" s="376" t="s">
        <v>356</v>
      </c>
      <c r="C1032" s="377"/>
      <c r="D1032" s="378"/>
      <c r="E1032" s="379"/>
      <c r="F1032" s="380"/>
      <c r="G1032" s="373"/>
    </row>
    <row r="1033" spans="1:7" ht="24" x14ac:dyDescent="0.2">
      <c r="A1033" s="381"/>
      <c r="B1033" s="267" t="s">
        <v>357</v>
      </c>
      <c r="C1033" s="293"/>
      <c r="D1033" s="193"/>
      <c r="E1033" s="142"/>
      <c r="F1033" s="143"/>
      <c r="G1033" s="64"/>
    </row>
    <row r="1034" spans="1:7" x14ac:dyDescent="0.2">
      <c r="A1034" s="382">
        <v>1</v>
      </c>
      <c r="B1034" s="383" t="s">
        <v>56</v>
      </c>
      <c r="C1034" s="384"/>
      <c r="D1034" s="385"/>
      <c r="E1034" s="386"/>
      <c r="F1034" s="387"/>
      <c r="G1034" s="101"/>
    </row>
    <row r="1035" spans="1:7" x14ac:dyDescent="0.2">
      <c r="A1035" s="388" t="s">
        <v>186</v>
      </c>
      <c r="B1035" s="389" t="s">
        <v>356</v>
      </c>
      <c r="C1035" s="390"/>
      <c r="D1035" s="391"/>
      <c r="E1035" s="307"/>
      <c r="F1035" s="209"/>
      <c r="G1035" s="99">
        <f t="shared" ref="G1035:G1043" si="122">+D1035*E1035+D1035*F1035</f>
        <v>0</v>
      </c>
    </row>
    <row r="1036" spans="1:7" x14ac:dyDescent="0.2">
      <c r="A1036" s="381" t="s">
        <v>164</v>
      </c>
      <c r="B1036" s="267" t="s">
        <v>358</v>
      </c>
      <c r="C1036" s="293" t="s">
        <v>102</v>
      </c>
      <c r="D1036" s="193">
        <v>1</v>
      </c>
      <c r="E1036" s="142"/>
      <c r="F1036" s="143"/>
      <c r="G1036" s="99">
        <f t="shared" si="122"/>
        <v>0</v>
      </c>
    </row>
    <row r="1037" spans="1:7" x14ac:dyDescent="0.2">
      <c r="A1037" s="381" t="s">
        <v>165</v>
      </c>
      <c r="B1037" s="267" t="s">
        <v>359</v>
      </c>
      <c r="C1037" s="293" t="s">
        <v>102</v>
      </c>
      <c r="D1037" s="193">
        <v>1</v>
      </c>
      <c r="E1037" s="142"/>
      <c r="F1037" s="143"/>
      <c r="G1037" s="99">
        <f t="shared" si="122"/>
        <v>0</v>
      </c>
    </row>
    <row r="1038" spans="1:7" x14ac:dyDescent="0.2">
      <c r="A1038" s="381" t="s">
        <v>177</v>
      </c>
      <c r="B1038" s="267" t="s">
        <v>360</v>
      </c>
      <c r="C1038" s="293" t="s">
        <v>102</v>
      </c>
      <c r="D1038" s="193">
        <v>6</v>
      </c>
      <c r="E1038" s="142"/>
      <c r="F1038" s="143"/>
      <c r="G1038" s="99">
        <f t="shared" si="122"/>
        <v>0</v>
      </c>
    </row>
    <row r="1039" spans="1:7" ht="24" x14ac:dyDescent="0.2">
      <c r="A1039" s="381" t="s">
        <v>178</v>
      </c>
      <c r="B1039" s="267" t="s">
        <v>361</v>
      </c>
      <c r="C1039" s="293" t="s">
        <v>102</v>
      </c>
      <c r="D1039" s="193">
        <v>1</v>
      </c>
      <c r="E1039" s="142"/>
      <c r="F1039" s="143"/>
      <c r="G1039" s="99">
        <f t="shared" si="122"/>
        <v>0</v>
      </c>
    </row>
    <row r="1040" spans="1:7" x14ac:dyDescent="0.2">
      <c r="A1040" s="381" t="s">
        <v>179</v>
      </c>
      <c r="B1040" s="267" t="s">
        <v>362</v>
      </c>
      <c r="C1040" s="293" t="s">
        <v>102</v>
      </c>
      <c r="D1040" s="193">
        <v>1</v>
      </c>
      <c r="E1040" s="142"/>
      <c r="F1040" s="143"/>
      <c r="G1040" s="99">
        <f t="shared" si="122"/>
        <v>0</v>
      </c>
    </row>
    <row r="1041" spans="1:7" x14ac:dyDescent="0.2">
      <c r="A1041" s="381" t="s">
        <v>180</v>
      </c>
      <c r="B1041" s="267" t="s">
        <v>363</v>
      </c>
      <c r="C1041" s="293" t="s">
        <v>102</v>
      </c>
      <c r="D1041" s="193">
        <v>12</v>
      </c>
      <c r="E1041" s="142"/>
      <c r="F1041" s="143"/>
      <c r="G1041" s="99">
        <f t="shared" si="122"/>
        <v>0</v>
      </c>
    </row>
    <row r="1042" spans="1:7" x14ac:dyDescent="0.2">
      <c r="A1042" s="381" t="s">
        <v>181</v>
      </c>
      <c r="B1042" s="267" t="s">
        <v>364</v>
      </c>
      <c r="C1042" s="293" t="s">
        <v>102</v>
      </c>
      <c r="D1042" s="193">
        <v>1</v>
      </c>
      <c r="E1042" s="142"/>
      <c r="F1042" s="143"/>
      <c r="G1042" s="99">
        <f t="shared" si="122"/>
        <v>0</v>
      </c>
    </row>
    <row r="1043" spans="1:7" x14ac:dyDescent="0.2">
      <c r="A1043" s="381" t="s">
        <v>182</v>
      </c>
      <c r="B1043" s="267" t="s">
        <v>365</v>
      </c>
      <c r="C1043" s="293" t="s">
        <v>102</v>
      </c>
      <c r="D1043" s="193">
        <v>1</v>
      </c>
      <c r="E1043" s="142"/>
      <c r="F1043" s="143"/>
      <c r="G1043" s="99">
        <f t="shared" si="122"/>
        <v>0</v>
      </c>
    </row>
    <row r="1044" spans="1:7" x14ac:dyDescent="0.2">
      <c r="A1044" s="392"/>
      <c r="B1044" s="393"/>
      <c r="C1044" s="394"/>
      <c r="D1044" s="391"/>
      <c r="E1044" s="395"/>
      <c r="F1044" s="396"/>
      <c r="G1044" s="99"/>
    </row>
    <row r="1045" spans="1:7" x14ac:dyDescent="0.2">
      <c r="A1045" s="382">
        <v>2</v>
      </c>
      <c r="B1045" s="383" t="s">
        <v>58</v>
      </c>
      <c r="C1045" s="384"/>
      <c r="D1045" s="385"/>
      <c r="E1045" s="386"/>
      <c r="F1045" s="387"/>
      <c r="G1045" s="101"/>
    </row>
    <row r="1046" spans="1:7" x14ac:dyDescent="0.2">
      <c r="A1046" s="388" t="s">
        <v>186</v>
      </c>
      <c r="B1046" s="389" t="s">
        <v>356</v>
      </c>
      <c r="C1046" s="390"/>
      <c r="D1046" s="391"/>
      <c r="E1046" s="307"/>
      <c r="F1046" s="209"/>
      <c r="G1046" s="99">
        <f t="shared" ref="G1046:G1052" si="123">+D1046*E1046+D1046*F1046</f>
        <v>0</v>
      </c>
    </row>
    <row r="1047" spans="1:7" x14ac:dyDescent="0.2">
      <c r="A1047" s="381" t="s">
        <v>164</v>
      </c>
      <c r="B1047" s="267" t="s">
        <v>360</v>
      </c>
      <c r="C1047" s="293" t="s">
        <v>102</v>
      </c>
      <c r="D1047" s="193">
        <v>7</v>
      </c>
      <c r="E1047" s="142"/>
      <c r="F1047" s="143"/>
      <c r="G1047" s="99">
        <f t="shared" si="123"/>
        <v>0</v>
      </c>
    </row>
    <row r="1048" spans="1:7" ht="24" x14ac:dyDescent="0.2">
      <c r="A1048" s="381" t="s">
        <v>165</v>
      </c>
      <c r="B1048" s="267" t="s">
        <v>361</v>
      </c>
      <c r="C1048" s="293" t="s">
        <v>102</v>
      </c>
      <c r="D1048" s="193">
        <v>1</v>
      </c>
      <c r="E1048" s="142"/>
      <c r="F1048" s="143"/>
      <c r="G1048" s="99">
        <f t="shared" si="123"/>
        <v>0</v>
      </c>
    </row>
    <row r="1049" spans="1:7" x14ac:dyDescent="0.2">
      <c r="A1049" s="381" t="s">
        <v>177</v>
      </c>
      <c r="B1049" s="267" t="s">
        <v>362</v>
      </c>
      <c r="C1049" s="293" t="s">
        <v>102</v>
      </c>
      <c r="D1049" s="193">
        <v>1</v>
      </c>
      <c r="E1049" s="142"/>
      <c r="F1049" s="143"/>
      <c r="G1049" s="99">
        <f t="shared" si="123"/>
        <v>0</v>
      </c>
    </row>
    <row r="1050" spans="1:7" x14ac:dyDescent="0.2">
      <c r="A1050" s="381" t="s">
        <v>178</v>
      </c>
      <c r="B1050" s="267" t="s">
        <v>363</v>
      </c>
      <c r="C1050" s="293" t="s">
        <v>102</v>
      </c>
      <c r="D1050" s="193">
        <v>12</v>
      </c>
      <c r="E1050" s="142"/>
      <c r="F1050" s="143"/>
      <c r="G1050" s="99">
        <f t="shared" si="123"/>
        <v>0</v>
      </c>
    </row>
    <row r="1051" spans="1:7" x14ac:dyDescent="0.2">
      <c r="A1051" s="381" t="s">
        <v>179</v>
      </c>
      <c r="B1051" s="267" t="s">
        <v>364</v>
      </c>
      <c r="C1051" s="293" t="s">
        <v>102</v>
      </c>
      <c r="D1051" s="193">
        <v>1</v>
      </c>
      <c r="E1051" s="142"/>
      <c r="F1051" s="143"/>
      <c r="G1051" s="99">
        <f t="shared" si="123"/>
        <v>0</v>
      </c>
    </row>
    <row r="1052" spans="1:7" x14ac:dyDescent="0.2">
      <c r="A1052" s="381" t="s">
        <v>180</v>
      </c>
      <c r="B1052" s="267" t="s">
        <v>365</v>
      </c>
      <c r="C1052" s="293" t="s">
        <v>102</v>
      </c>
      <c r="D1052" s="193">
        <v>1</v>
      </c>
      <c r="E1052" s="142"/>
      <c r="F1052" s="143"/>
      <c r="G1052" s="99">
        <f t="shared" si="123"/>
        <v>0</v>
      </c>
    </row>
    <row r="1053" spans="1:7" x14ac:dyDescent="0.2">
      <c r="A1053" s="382">
        <v>3</v>
      </c>
      <c r="B1053" s="383" t="s">
        <v>415</v>
      </c>
      <c r="C1053" s="384"/>
      <c r="D1053" s="385"/>
      <c r="E1053" s="386"/>
      <c r="F1053" s="387"/>
      <c r="G1053" s="101"/>
    </row>
    <row r="1054" spans="1:7" x14ac:dyDescent="0.2">
      <c r="A1054" s="388" t="s">
        <v>186</v>
      </c>
      <c r="B1054" s="389" t="s">
        <v>356</v>
      </c>
      <c r="C1054" s="390"/>
      <c r="D1054" s="391"/>
      <c r="E1054" s="307"/>
      <c r="F1054" s="209"/>
      <c r="G1054" s="99">
        <f t="shared" ref="G1054:G1060" si="124">+D1054*E1054+D1054*F1054</f>
        <v>0</v>
      </c>
    </row>
    <row r="1055" spans="1:7" x14ac:dyDescent="0.2">
      <c r="A1055" s="381" t="s">
        <v>164</v>
      </c>
      <c r="B1055" s="267" t="s">
        <v>360</v>
      </c>
      <c r="C1055" s="293" t="s">
        <v>102</v>
      </c>
      <c r="D1055" s="193">
        <v>7</v>
      </c>
      <c r="E1055" s="142"/>
      <c r="F1055" s="143"/>
      <c r="G1055" s="99">
        <f t="shared" si="124"/>
        <v>0</v>
      </c>
    </row>
    <row r="1056" spans="1:7" ht="24" x14ac:dyDescent="0.2">
      <c r="A1056" s="381" t="s">
        <v>165</v>
      </c>
      <c r="B1056" s="267" t="s">
        <v>361</v>
      </c>
      <c r="C1056" s="293" t="s">
        <v>102</v>
      </c>
      <c r="D1056" s="193">
        <v>1</v>
      </c>
      <c r="E1056" s="142"/>
      <c r="F1056" s="143"/>
      <c r="G1056" s="99">
        <f t="shared" si="124"/>
        <v>0</v>
      </c>
    </row>
    <row r="1057" spans="1:7" x14ac:dyDescent="0.2">
      <c r="A1057" s="381" t="s">
        <v>177</v>
      </c>
      <c r="B1057" s="267" t="s">
        <v>362</v>
      </c>
      <c r="C1057" s="293" t="s">
        <v>102</v>
      </c>
      <c r="D1057" s="193">
        <v>1</v>
      </c>
      <c r="E1057" s="142"/>
      <c r="F1057" s="143"/>
      <c r="G1057" s="99">
        <f t="shared" si="124"/>
        <v>0</v>
      </c>
    </row>
    <row r="1058" spans="1:7" x14ac:dyDescent="0.2">
      <c r="A1058" s="381" t="s">
        <v>178</v>
      </c>
      <c r="B1058" s="267" t="s">
        <v>363</v>
      </c>
      <c r="C1058" s="293" t="s">
        <v>102</v>
      </c>
      <c r="D1058" s="193">
        <v>12</v>
      </c>
      <c r="E1058" s="142"/>
      <c r="F1058" s="143"/>
      <c r="G1058" s="99">
        <f t="shared" si="124"/>
        <v>0</v>
      </c>
    </row>
    <row r="1059" spans="1:7" x14ac:dyDescent="0.2">
      <c r="A1059" s="381" t="s">
        <v>179</v>
      </c>
      <c r="B1059" s="267" t="s">
        <v>364</v>
      </c>
      <c r="C1059" s="293" t="s">
        <v>102</v>
      </c>
      <c r="D1059" s="193">
        <v>1</v>
      </c>
      <c r="E1059" s="142"/>
      <c r="F1059" s="143"/>
      <c r="G1059" s="99">
        <f t="shared" si="124"/>
        <v>0</v>
      </c>
    </row>
    <row r="1060" spans="1:7" x14ac:dyDescent="0.2">
      <c r="A1060" s="381" t="s">
        <v>180</v>
      </c>
      <c r="B1060" s="267" t="s">
        <v>365</v>
      </c>
      <c r="C1060" s="293" t="s">
        <v>102</v>
      </c>
      <c r="D1060" s="193">
        <v>1</v>
      </c>
      <c r="E1060" s="142"/>
      <c r="F1060" s="143"/>
      <c r="G1060" s="99">
        <f t="shared" si="124"/>
        <v>0</v>
      </c>
    </row>
    <row r="1061" spans="1:7" x14ac:dyDescent="0.2">
      <c r="A1061" s="392"/>
      <c r="B1061" s="393"/>
      <c r="C1061" s="394"/>
      <c r="D1061" s="391"/>
      <c r="E1061" s="395"/>
      <c r="F1061" s="396"/>
      <c r="G1061" s="99"/>
    </row>
    <row r="1062" spans="1:7" x14ac:dyDescent="0.2">
      <c r="A1062" s="392"/>
      <c r="B1062" s="393"/>
      <c r="C1062" s="394"/>
      <c r="D1062" s="391"/>
      <c r="E1062" s="395"/>
      <c r="F1062" s="396"/>
      <c r="G1062" s="99"/>
    </row>
    <row r="1063" spans="1:7" x14ac:dyDescent="0.2">
      <c r="A1063" s="392"/>
      <c r="B1063" s="393"/>
      <c r="C1063" s="394"/>
      <c r="D1063" s="391"/>
      <c r="E1063" s="395"/>
      <c r="F1063" s="396"/>
      <c r="G1063" s="99"/>
    </row>
    <row r="1064" spans="1:7" x14ac:dyDescent="0.2">
      <c r="A1064" s="392"/>
      <c r="B1064" s="393"/>
      <c r="C1064" s="394"/>
      <c r="D1064" s="391"/>
      <c r="E1064" s="395"/>
      <c r="F1064" s="396"/>
      <c r="G1064" s="99"/>
    </row>
    <row r="1065" spans="1:7" x14ac:dyDescent="0.2">
      <c r="A1065" s="392"/>
      <c r="B1065" s="393"/>
      <c r="C1065" s="394"/>
      <c r="D1065" s="391"/>
      <c r="E1065" s="395"/>
      <c r="F1065" s="396"/>
      <c r="G1065" s="99"/>
    </row>
    <row r="1066" spans="1:7" x14ac:dyDescent="0.2">
      <c r="A1066" s="392"/>
      <c r="B1066" s="393"/>
      <c r="C1066" s="394"/>
      <c r="D1066" s="391"/>
      <c r="E1066" s="395"/>
      <c r="F1066" s="396"/>
      <c r="G1066" s="99"/>
    </row>
    <row r="1067" spans="1:7" x14ac:dyDescent="0.2">
      <c r="A1067" s="392"/>
      <c r="B1067" s="393"/>
      <c r="C1067" s="394"/>
      <c r="D1067" s="391"/>
      <c r="E1067" s="395"/>
      <c r="F1067" s="396"/>
      <c r="G1067" s="99"/>
    </row>
    <row r="1068" spans="1:7" x14ac:dyDescent="0.2">
      <c r="A1068" s="392"/>
      <c r="B1068" s="393"/>
      <c r="C1068" s="394"/>
      <c r="D1068" s="391"/>
      <c r="E1068" s="395"/>
      <c r="F1068" s="396"/>
      <c r="G1068" s="99"/>
    </row>
    <row r="1069" spans="1:7" x14ac:dyDescent="0.2">
      <c r="A1069" s="392"/>
      <c r="B1069" s="393"/>
      <c r="C1069" s="394"/>
      <c r="D1069" s="391"/>
      <c r="E1069" s="395"/>
      <c r="F1069" s="396"/>
      <c r="G1069" s="99"/>
    </row>
    <row r="1070" spans="1:7" x14ac:dyDescent="0.2">
      <c r="A1070" s="392"/>
      <c r="B1070" s="393"/>
      <c r="C1070" s="394"/>
      <c r="D1070" s="391"/>
      <c r="E1070" s="395"/>
      <c r="F1070" s="396"/>
      <c r="G1070" s="99"/>
    </row>
    <row r="1071" spans="1:7" x14ac:dyDescent="0.2">
      <c r="A1071" s="392"/>
      <c r="B1071" s="393"/>
      <c r="C1071" s="394"/>
      <c r="D1071" s="391"/>
      <c r="E1071" s="395"/>
      <c r="F1071" s="396"/>
      <c r="G1071" s="99"/>
    </row>
    <row r="1072" spans="1:7" x14ac:dyDescent="0.2">
      <c r="A1072" s="392"/>
      <c r="B1072" s="393"/>
      <c r="C1072" s="394"/>
      <c r="D1072" s="391"/>
      <c r="E1072" s="395"/>
      <c r="F1072" s="396"/>
      <c r="G1072" s="99"/>
    </row>
    <row r="1073" spans="1:7" x14ac:dyDescent="0.2">
      <c r="A1073" s="392"/>
      <c r="B1073" s="393"/>
      <c r="C1073" s="394"/>
      <c r="D1073" s="391"/>
      <c r="E1073" s="395"/>
      <c r="F1073" s="396"/>
      <c r="G1073" s="99"/>
    </row>
    <row r="1074" spans="1:7" x14ac:dyDescent="0.2">
      <c r="A1074" s="392"/>
      <c r="B1074" s="393"/>
      <c r="C1074" s="394"/>
      <c r="D1074" s="391"/>
      <c r="E1074" s="395"/>
      <c r="F1074" s="396"/>
      <c r="G1074" s="99"/>
    </row>
    <row r="1075" spans="1:7" x14ac:dyDescent="0.2">
      <c r="A1075" s="392"/>
      <c r="B1075" s="393"/>
      <c r="C1075" s="394"/>
      <c r="D1075" s="391"/>
      <c r="E1075" s="395"/>
      <c r="F1075" s="396"/>
      <c r="G1075" s="99"/>
    </row>
    <row r="1076" spans="1:7" x14ac:dyDescent="0.2">
      <c r="A1076" s="392"/>
      <c r="B1076" s="393"/>
      <c r="C1076" s="394"/>
      <c r="D1076" s="391"/>
      <c r="E1076" s="395"/>
      <c r="F1076" s="396"/>
      <c r="G1076" s="99"/>
    </row>
    <row r="1077" spans="1:7" x14ac:dyDescent="0.2">
      <c r="A1077" s="392"/>
      <c r="B1077" s="393"/>
      <c r="C1077" s="394"/>
      <c r="D1077" s="391"/>
      <c r="E1077" s="395"/>
      <c r="F1077" s="396"/>
      <c r="G1077" s="99"/>
    </row>
    <row r="1078" spans="1:7" x14ac:dyDescent="0.2">
      <c r="A1078" s="392"/>
      <c r="B1078" s="393"/>
      <c r="C1078" s="394"/>
      <c r="D1078" s="391"/>
      <c r="E1078" s="395"/>
      <c r="F1078" s="396"/>
      <c r="G1078" s="99"/>
    </row>
    <row r="1079" spans="1:7" x14ac:dyDescent="0.2">
      <c r="A1079" s="392"/>
      <c r="B1079" s="393"/>
      <c r="C1079" s="394"/>
      <c r="D1079" s="391"/>
      <c r="E1079" s="395"/>
      <c r="F1079" s="396"/>
      <c r="G1079" s="99"/>
    </row>
    <row r="1080" spans="1:7" x14ac:dyDescent="0.2">
      <c r="A1080" s="392"/>
      <c r="B1080" s="393"/>
      <c r="C1080" s="394"/>
      <c r="D1080" s="391"/>
      <c r="E1080" s="395"/>
      <c r="F1080" s="396"/>
      <c r="G1080" s="99"/>
    </row>
    <row r="1081" spans="1:7" x14ac:dyDescent="0.2">
      <c r="A1081" s="392"/>
      <c r="B1081" s="393"/>
      <c r="C1081" s="394"/>
      <c r="D1081" s="391"/>
      <c r="E1081" s="395"/>
      <c r="F1081" s="396"/>
      <c r="G1081" s="99"/>
    </row>
    <row r="1082" spans="1:7" x14ac:dyDescent="0.2">
      <c r="A1082" s="392"/>
      <c r="B1082" s="393"/>
      <c r="C1082" s="394"/>
      <c r="D1082" s="391"/>
      <c r="E1082" s="395"/>
      <c r="F1082" s="396"/>
      <c r="G1082" s="99"/>
    </row>
    <row r="1083" spans="1:7" ht="12.75" thickBot="1" x14ac:dyDescent="0.25">
      <c r="A1083" s="397"/>
      <c r="B1083" s="398"/>
      <c r="C1083" s="399"/>
      <c r="D1083" s="400"/>
      <c r="E1083" s="401"/>
      <c r="F1083" s="402"/>
      <c r="G1083" s="99"/>
    </row>
    <row r="1084" spans="1:7" x14ac:dyDescent="0.2">
      <c r="A1084" s="374"/>
      <c r="B1084" s="115" t="s">
        <v>366</v>
      </c>
      <c r="C1084" s="370"/>
      <c r="D1084" s="166"/>
      <c r="E1084" s="372"/>
      <c r="F1084" s="210"/>
      <c r="G1084" s="167"/>
    </row>
    <row r="1085" spans="1:7" ht="12.75" thickBot="1" x14ac:dyDescent="0.25">
      <c r="A1085" s="102"/>
      <c r="B1085" s="103" t="s">
        <v>367</v>
      </c>
      <c r="C1085" s="104"/>
      <c r="D1085" s="105"/>
      <c r="E1085" s="106"/>
      <c r="F1085" s="211"/>
      <c r="G1085" s="107">
        <f>SUM(G1028:G1084)</f>
        <v>0</v>
      </c>
    </row>
    <row r="1086" spans="1:7" x14ac:dyDescent="0.2">
      <c r="A1086" s="403"/>
      <c r="B1086" s="404" t="s">
        <v>384</v>
      </c>
      <c r="C1086" s="249"/>
      <c r="D1086" s="334"/>
      <c r="E1086" s="251"/>
      <c r="F1086" s="252"/>
      <c r="G1086" s="64"/>
    </row>
    <row r="1087" spans="1:7" x14ac:dyDescent="0.2">
      <c r="A1087" s="381"/>
      <c r="B1087" s="405" t="s">
        <v>381</v>
      </c>
      <c r="C1087" s="246"/>
      <c r="D1087" s="193"/>
      <c r="E1087" s="142"/>
      <c r="F1087" s="143"/>
      <c r="G1087" s="64"/>
    </row>
    <row r="1088" spans="1:7" x14ac:dyDescent="0.2">
      <c r="A1088" s="406">
        <v>13.1</v>
      </c>
      <c r="B1088" s="291" t="s">
        <v>40</v>
      </c>
      <c r="C1088" s="407"/>
      <c r="D1088" s="408"/>
      <c r="E1088" s="203"/>
      <c r="F1088" s="240"/>
      <c r="G1088" s="90"/>
    </row>
    <row r="1089" spans="1:7" x14ac:dyDescent="0.2">
      <c r="A1089" s="409"/>
      <c r="B1089" s="291" t="s">
        <v>383</v>
      </c>
      <c r="C1089" s="407"/>
      <c r="D1089" s="408"/>
      <c r="E1089" s="203"/>
      <c r="F1089" s="240"/>
      <c r="G1089" s="90"/>
    </row>
    <row r="1090" spans="1:7" x14ac:dyDescent="0.2">
      <c r="A1090" s="381"/>
      <c r="B1090" s="267"/>
      <c r="C1090" s="293"/>
      <c r="D1090" s="193"/>
      <c r="E1090" s="142"/>
      <c r="F1090" s="143"/>
      <c r="G1090" s="64"/>
    </row>
    <row r="1091" spans="1:7" x14ac:dyDescent="0.2">
      <c r="A1091" s="381"/>
      <c r="B1091" s="267"/>
      <c r="C1091" s="293"/>
      <c r="D1091" s="193"/>
      <c r="E1091" s="142"/>
      <c r="F1091" s="143"/>
      <c r="G1091" s="64"/>
    </row>
    <row r="1092" spans="1:7" x14ac:dyDescent="0.2">
      <c r="A1092" s="381"/>
      <c r="B1092" s="267"/>
      <c r="C1092" s="293"/>
      <c r="D1092" s="193"/>
      <c r="E1092" s="142"/>
      <c r="F1092" s="143"/>
      <c r="G1092" s="64"/>
    </row>
    <row r="1093" spans="1:7" x14ac:dyDescent="0.2">
      <c r="A1093" s="381"/>
      <c r="B1093" s="267"/>
      <c r="C1093" s="293"/>
      <c r="D1093" s="193"/>
      <c r="E1093" s="142"/>
      <c r="F1093" s="143"/>
      <c r="G1093" s="64"/>
    </row>
    <row r="1094" spans="1:7" x14ac:dyDescent="0.2">
      <c r="A1094" s="381"/>
      <c r="B1094" s="267"/>
      <c r="C1094" s="293"/>
      <c r="D1094" s="193"/>
      <c r="E1094" s="142"/>
      <c r="F1094" s="143"/>
      <c r="G1094" s="64"/>
    </row>
    <row r="1095" spans="1:7" x14ac:dyDescent="0.2">
      <c r="A1095" s="381"/>
      <c r="B1095" s="267"/>
      <c r="C1095" s="293"/>
      <c r="D1095" s="193"/>
      <c r="E1095" s="142"/>
      <c r="F1095" s="143"/>
      <c r="G1095" s="64"/>
    </row>
    <row r="1096" spans="1:7" x14ac:dyDescent="0.2">
      <c r="A1096" s="381"/>
      <c r="B1096" s="267"/>
      <c r="C1096" s="293"/>
      <c r="D1096" s="193"/>
      <c r="E1096" s="142"/>
      <c r="F1096" s="143"/>
      <c r="G1096" s="64"/>
    </row>
    <row r="1097" spans="1:7" x14ac:dyDescent="0.2">
      <c r="A1097" s="381"/>
      <c r="B1097" s="267"/>
      <c r="C1097" s="293"/>
      <c r="D1097" s="193"/>
      <c r="E1097" s="142"/>
      <c r="F1097" s="143"/>
      <c r="G1097" s="64"/>
    </row>
    <row r="1098" spans="1:7" x14ac:dyDescent="0.2">
      <c r="A1098" s="381"/>
      <c r="B1098" s="267"/>
      <c r="C1098" s="293"/>
      <c r="D1098" s="193"/>
      <c r="E1098" s="142"/>
      <c r="F1098" s="143"/>
      <c r="G1098" s="64"/>
    </row>
    <row r="1099" spans="1:7" x14ac:dyDescent="0.2">
      <c r="A1099" s="381"/>
      <c r="B1099" s="267"/>
      <c r="C1099" s="293"/>
      <c r="D1099" s="193"/>
      <c r="E1099" s="142"/>
      <c r="F1099" s="143"/>
      <c r="G1099" s="64"/>
    </row>
    <row r="1100" spans="1:7" x14ac:dyDescent="0.2">
      <c r="A1100" s="381"/>
      <c r="B1100" s="267"/>
      <c r="C1100" s="293"/>
      <c r="D1100" s="193"/>
      <c r="E1100" s="142"/>
      <c r="F1100" s="143"/>
      <c r="G1100" s="64"/>
    </row>
    <row r="1101" spans="1:7" x14ac:dyDescent="0.2">
      <c r="A1101" s="381"/>
      <c r="B1101" s="267"/>
      <c r="C1101" s="293"/>
      <c r="D1101" s="193"/>
      <c r="E1101" s="142"/>
      <c r="F1101" s="143"/>
      <c r="G1101" s="64"/>
    </row>
    <row r="1102" spans="1:7" x14ac:dyDescent="0.2">
      <c r="A1102" s="381"/>
      <c r="B1102" s="267"/>
      <c r="C1102" s="293"/>
      <c r="D1102" s="193"/>
      <c r="E1102" s="142"/>
      <c r="F1102" s="143"/>
      <c r="G1102" s="64"/>
    </row>
    <row r="1103" spans="1:7" x14ac:dyDescent="0.2">
      <c r="A1103" s="381"/>
      <c r="B1103" s="267"/>
      <c r="C1103" s="293"/>
      <c r="D1103" s="193"/>
      <c r="E1103" s="142"/>
      <c r="F1103" s="143"/>
      <c r="G1103" s="64"/>
    </row>
    <row r="1104" spans="1:7" x14ac:dyDescent="0.2">
      <c r="A1104" s="381"/>
      <c r="B1104" s="267"/>
      <c r="C1104" s="293"/>
      <c r="D1104" s="193"/>
      <c r="E1104" s="142"/>
      <c r="F1104" s="143"/>
      <c r="G1104" s="64"/>
    </row>
    <row r="1105" spans="1:7" x14ac:dyDescent="0.2">
      <c r="A1105" s="381"/>
      <c r="B1105" s="267"/>
      <c r="C1105" s="293"/>
      <c r="D1105" s="193"/>
      <c r="E1105" s="142"/>
      <c r="F1105" s="143"/>
      <c r="G1105" s="64"/>
    </row>
    <row r="1106" spans="1:7" x14ac:dyDescent="0.2">
      <c r="A1106" s="381"/>
      <c r="B1106" s="267"/>
      <c r="C1106" s="293"/>
      <c r="D1106" s="193"/>
      <c r="E1106" s="142"/>
      <c r="F1106" s="143"/>
      <c r="G1106" s="64"/>
    </row>
    <row r="1107" spans="1:7" x14ac:dyDescent="0.2">
      <c r="A1107" s="381"/>
      <c r="B1107" s="267"/>
      <c r="C1107" s="293"/>
      <c r="D1107" s="193"/>
      <c r="E1107" s="142"/>
      <c r="F1107" s="143"/>
      <c r="G1107" s="64"/>
    </row>
    <row r="1108" spans="1:7" x14ac:dyDescent="0.2">
      <c r="A1108" s="381"/>
      <c r="B1108" s="267"/>
      <c r="C1108" s="293"/>
      <c r="D1108" s="193"/>
      <c r="E1108" s="142"/>
      <c r="F1108" s="143"/>
      <c r="G1108" s="64"/>
    </row>
    <row r="1109" spans="1:7" x14ac:dyDescent="0.2">
      <c r="A1109" s="381"/>
      <c r="B1109" s="267"/>
      <c r="C1109" s="293"/>
      <c r="D1109" s="193"/>
      <c r="E1109" s="142"/>
      <c r="F1109" s="143"/>
      <c r="G1109" s="64"/>
    </row>
    <row r="1110" spans="1:7" x14ac:dyDescent="0.2">
      <c r="A1110" s="381"/>
      <c r="B1110" s="267"/>
      <c r="C1110" s="293"/>
      <c r="D1110" s="193"/>
      <c r="E1110" s="142"/>
      <c r="F1110" s="143"/>
      <c r="G1110" s="64"/>
    </row>
    <row r="1111" spans="1:7" x14ac:dyDescent="0.2">
      <c r="A1111" s="381"/>
      <c r="B1111" s="267"/>
      <c r="C1111" s="293"/>
      <c r="D1111" s="193"/>
      <c r="E1111" s="142"/>
      <c r="F1111" s="143"/>
      <c r="G1111" s="64"/>
    </row>
    <row r="1112" spans="1:7" x14ac:dyDescent="0.2">
      <c r="A1112" s="381"/>
      <c r="B1112" s="267"/>
      <c r="C1112" s="293"/>
      <c r="D1112" s="193"/>
      <c r="E1112" s="142"/>
      <c r="F1112" s="143"/>
      <c r="G1112" s="64"/>
    </row>
    <row r="1113" spans="1:7" x14ac:dyDescent="0.2">
      <c r="A1113" s="381"/>
      <c r="B1113" s="267"/>
      <c r="C1113" s="293"/>
      <c r="D1113" s="193"/>
      <c r="E1113" s="142"/>
      <c r="F1113" s="143"/>
      <c r="G1113" s="64"/>
    </row>
    <row r="1114" spans="1:7" x14ac:dyDescent="0.2">
      <c r="A1114" s="381"/>
      <c r="B1114" s="267"/>
      <c r="C1114" s="293"/>
      <c r="D1114" s="193"/>
      <c r="E1114" s="142"/>
      <c r="F1114" s="143"/>
      <c r="G1114" s="64"/>
    </row>
    <row r="1115" spans="1:7" x14ac:dyDescent="0.2">
      <c r="A1115" s="381"/>
      <c r="B1115" s="267"/>
      <c r="C1115" s="293"/>
      <c r="D1115" s="193"/>
      <c r="E1115" s="142"/>
      <c r="F1115" s="143"/>
      <c r="G1115" s="64"/>
    </row>
    <row r="1116" spans="1:7" x14ac:dyDescent="0.2">
      <c r="A1116" s="381"/>
      <c r="B1116" s="267"/>
      <c r="C1116" s="293"/>
      <c r="D1116" s="193"/>
      <c r="E1116" s="142"/>
      <c r="F1116" s="143"/>
      <c r="G1116" s="64"/>
    </row>
    <row r="1117" spans="1:7" x14ac:dyDescent="0.2">
      <c r="A1117" s="381"/>
      <c r="B1117" s="267"/>
      <c r="C1117" s="293"/>
      <c r="D1117" s="193"/>
      <c r="E1117" s="142"/>
      <c r="F1117" s="143"/>
      <c r="G1117" s="64"/>
    </row>
    <row r="1118" spans="1:7" x14ac:dyDescent="0.2">
      <c r="A1118" s="381"/>
      <c r="B1118" s="267"/>
      <c r="C1118" s="293"/>
      <c r="D1118" s="193"/>
      <c r="E1118" s="142"/>
      <c r="F1118" s="143"/>
      <c r="G1118" s="64"/>
    </row>
    <row r="1119" spans="1:7" x14ac:dyDescent="0.2">
      <c r="A1119" s="381"/>
      <c r="B1119" s="267"/>
      <c r="C1119" s="293"/>
      <c r="D1119" s="193"/>
      <c r="E1119" s="142"/>
      <c r="F1119" s="143"/>
      <c r="G1119" s="64"/>
    </row>
    <row r="1120" spans="1:7" x14ac:dyDescent="0.2">
      <c r="A1120" s="381"/>
      <c r="B1120" s="267"/>
      <c r="C1120" s="293"/>
      <c r="D1120" s="193"/>
      <c r="E1120" s="142"/>
      <c r="F1120" s="143"/>
      <c r="G1120" s="64"/>
    </row>
    <row r="1121" spans="1:7" x14ac:dyDescent="0.2">
      <c r="A1121" s="381"/>
      <c r="B1121" s="267"/>
      <c r="C1121" s="293"/>
      <c r="D1121" s="193"/>
      <c r="E1121" s="142"/>
      <c r="F1121" s="143"/>
      <c r="G1121" s="64"/>
    </row>
    <row r="1122" spans="1:7" x14ac:dyDescent="0.2">
      <c r="A1122" s="381"/>
      <c r="B1122" s="267"/>
      <c r="C1122" s="293"/>
      <c r="D1122" s="193"/>
      <c r="E1122" s="142"/>
      <c r="F1122" s="143"/>
      <c r="G1122" s="64"/>
    </row>
    <row r="1123" spans="1:7" x14ac:dyDescent="0.2">
      <c r="A1123" s="381"/>
      <c r="B1123" s="267"/>
      <c r="C1123" s="293"/>
      <c r="D1123" s="193"/>
      <c r="E1123" s="142"/>
      <c r="F1123" s="143"/>
      <c r="G1123" s="64"/>
    </row>
    <row r="1124" spans="1:7" x14ac:dyDescent="0.2">
      <c r="A1124" s="381"/>
      <c r="B1124" s="267"/>
      <c r="C1124" s="293"/>
      <c r="D1124" s="193"/>
      <c r="E1124" s="142"/>
      <c r="F1124" s="143"/>
      <c r="G1124" s="64"/>
    </row>
    <row r="1125" spans="1:7" x14ac:dyDescent="0.2">
      <c r="A1125" s="381"/>
      <c r="B1125" s="267"/>
      <c r="C1125" s="293"/>
      <c r="D1125" s="193"/>
      <c r="E1125" s="142"/>
      <c r="F1125" s="143"/>
      <c r="G1125" s="64"/>
    </row>
    <row r="1126" spans="1:7" x14ac:dyDescent="0.2">
      <c r="A1126" s="381"/>
      <c r="B1126" s="267"/>
      <c r="C1126" s="293"/>
      <c r="D1126" s="193"/>
      <c r="E1126" s="142"/>
      <c r="F1126" s="143"/>
      <c r="G1126" s="64"/>
    </row>
    <row r="1127" spans="1:7" x14ac:dyDescent="0.2">
      <c r="A1127" s="381"/>
      <c r="B1127" s="267"/>
      <c r="C1127" s="293"/>
      <c r="D1127" s="193"/>
      <c r="E1127" s="142"/>
      <c r="F1127" s="143"/>
      <c r="G1127" s="64"/>
    </row>
    <row r="1128" spans="1:7" x14ac:dyDescent="0.2">
      <c r="A1128" s="381"/>
      <c r="B1128" s="267"/>
      <c r="C1128" s="293"/>
      <c r="D1128" s="193"/>
      <c r="E1128" s="142"/>
      <c r="F1128" s="143"/>
      <c r="G1128" s="64"/>
    </row>
    <row r="1129" spans="1:7" x14ac:dyDescent="0.2">
      <c r="A1129" s="381"/>
      <c r="B1129" s="267"/>
      <c r="C1129" s="293"/>
      <c r="D1129" s="193"/>
      <c r="E1129" s="142"/>
      <c r="F1129" s="143"/>
      <c r="G1129" s="64"/>
    </row>
    <row r="1130" spans="1:7" x14ac:dyDescent="0.2">
      <c r="A1130" s="381"/>
      <c r="B1130" s="267"/>
      <c r="C1130" s="293"/>
      <c r="D1130" s="193"/>
      <c r="E1130" s="142"/>
      <c r="F1130" s="143"/>
      <c r="G1130" s="64"/>
    </row>
    <row r="1131" spans="1:7" x14ac:dyDescent="0.2">
      <c r="A1131" s="381"/>
      <c r="B1131" s="267"/>
      <c r="C1131" s="293"/>
      <c r="D1131" s="193"/>
      <c r="E1131" s="142"/>
      <c r="F1131" s="143"/>
      <c r="G1131" s="64"/>
    </row>
    <row r="1132" spans="1:7" x14ac:dyDescent="0.2">
      <c r="A1132" s="381"/>
      <c r="B1132" s="267"/>
      <c r="C1132" s="293"/>
      <c r="D1132" s="193"/>
      <c r="E1132" s="142"/>
      <c r="F1132" s="143"/>
      <c r="G1132" s="64"/>
    </row>
    <row r="1133" spans="1:7" x14ac:dyDescent="0.2">
      <c r="A1133" s="381"/>
      <c r="B1133" s="267"/>
      <c r="C1133" s="293"/>
      <c r="D1133" s="193"/>
      <c r="E1133" s="142"/>
      <c r="F1133" s="143"/>
      <c r="G1133" s="64"/>
    </row>
    <row r="1134" spans="1:7" x14ac:dyDescent="0.2">
      <c r="A1134" s="381"/>
      <c r="B1134" s="267"/>
      <c r="C1134" s="293"/>
      <c r="D1134" s="193"/>
      <c r="E1134" s="142"/>
      <c r="F1134" s="143"/>
      <c r="G1134" s="64"/>
    </row>
    <row r="1135" spans="1:7" x14ac:dyDescent="0.2">
      <c r="A1135" s="381"/>
      <c r="B1135" s="267"/>
      <c r="C1135" s="293"/>
      <c r="D1135" s="193"/>
      <c r="E1135" s="142"/>
      <c r="F1135" s="143"/>
      <c r="G1135" s="64"/>
    </row>
    <row r="1136" spans="1:7" x14ac:dyDescent="0.2">
      <c r="A1136" s="381"/>
      <c r="B1136" s="267"/>
      <c r="C1136" s="293"/>
      <c r="D1136" s="193"/>
      <c r="E1136" s="142"/>
      <c r="F1136" s="143"/>
      <c r="G1136" s="64"/>
    </row>
    <row r="1137" spans="1:7" x14ac:dyDescent="0.2">
      <c r="A1137" s="381"/>
      <c r="B1137" s="267"/>
      <c r="C1137" s="293"/>
      <c r="D1137" s="193"/>
      <c r="E1137" s="142"/>
      <c r="F1137" s="143"/>
      <c r="G1137" s="64"/>
    </row>
    <row r="1138" spans="1:7" x14ac:dyDescent="0.2">
      <c r="A1138" s="381"/>
      <c r="B1138" s="267"/>
      <c r="C1138" s="293"/>
      <c r="D1138" s="193"/>
      <c r="E1138" s="142"/>
      <c r="F1138" s="143"/>
      <c r="G1138" s="64"/>
    </row>
    <row r="1139" spans="1:7" x14ac:dyDescent="0.2">
      <c r="A1139" s="381"/>
      <c r="B1139" s="267"/>
      <c r="C1139" s="293"/>
      <c r="D1139" s="193"/>
      <c r="E1139" s="142"/>
      <c r="F1139" s="143"/>
      <c r="G1139" s="64"/>
    </row>
    <row r="1140" spans="1:7" x14ac:dyDescent="0.2">
      <c r="A1140" s="381"/>
      <c r="B1140" s="267"/>
      <c r="C1140" s="293"/>
      <c r="D1140" s="193"/>
      <c r="E1140" s="142"/>
      <c r="F1140" s="143"/>
      <c r="G1140" s="64"/>
    </row>
    <row r="1141" spans="1:7" x14ac:dyDescent="0.2">
      <c r="A1141" s="381"/>
      <c r="B1141" s="267"/>
      <c r="C1141" s="293"/>
      <c r="D1141" s="193"/>
      <c r="E1141" s="142"/>
      <c r="F1141" s="143"/>
      <c r="G1141" s="64"/>
    </row>
    <row r="1142" spans="1:7" x14ac:dyDescent="0.2">
      <c r="A1142" s="381"/>
      <c r="B1142" s="267"/>
      <c r="C1142" s="293"/>
      <c r="D1142" s="193"/>
      <c r="E1142" s="142"/>
      <c r="F1142" s="143"/>
      <c r="G1142" s="64"/>
    </row>
    <row r="1143" spans="1:7" x14ac:dyDescent="0.2">
      <c r="A1143" s="381"/>
      <c r="B1143" s="267"/>
      <c r="C1143" s="293"/>
      <c r="D1143" s="193"/>
      <c r="E1143" s="142"/>
      <c r="F1143" s="143"/>
      <c r="G1143" s="64"/>
    </row>
    <row r="1144" spans="1:7" x14ac:dyDescent="0.2">
      <c r="A1144" s="381"/>
      <c r="B1144" s="267"/>
      <c r="C1144" s="293"/>
      <c r="D1144" s="193"/>
      <c r="E1144" s="142"/>
      <c r="F1144" s="143"/>
      <c r="G1144" s="64"/>
    </row>
    <row r="1145" spans="1:7" x14ac:dyDescent="0.2">
      <c r="A1145" s="381"/>
      <c r="B1145" s="267"/>
      <c r="C1145" s="293"/>
      <c r="D1145" s="193"/>
      <c r="E1145" s="142"/>
      <c r="F1145" s="143"/>
      <c r="G1145" s="64"/>
    </row>
    <row r="1146" spans="1:7" x14ac:dyDescent="0.2">
      <c r="A1146" s="381"/>
      <c r="B1146" s="267"/>
      <c r="C1146" s="293"/>
      <c r="D1146" s="193"/>
      <c r="E1146" s="142"/>
      <c r="F1146" s="143"/>
      <c r="G1146" s="64"/>
    </row>
    <row r="1147" spans="1:7" x14ac:dyDescent="0.2">
      <c r="A1147" s="381"/>
      <c r="B1147" s="267"/>
      <c r="C1147" s="293"/>
      <c r="D1147" s="193"/>
      <c r="E1147" s="142"/>
      <c r="F1147" s="143"/>
      <c r="G1147" s="64"/>
    </row>
    <row r="1148" spans="1:7" x14ac:dyDescent="0.2">
      <c r="A1148" s="381"/>
      <c r="B1148" s="267"/>
      <c r="C1148" s="293"/>
      <c r="D1148" s="193"/>
      <c r="E1148" s="142"/>
      <c r="F1148" s="143"/>
      <c r="G1148" s="64"/>
    </row>
    <row r="1149" spans="1:7" x14ac:dyDescent="0.2">
      <c r="A1149" s="381"/>
      <c r="B1149" s="267"/>
      <c r="C1149" s="293"/>
      <c r="D1149" s="193"/>
      <c r="E1149" s="142"/>
      <c r="F1149" s="143"/>
      <c r="G1149" s="64"/>
    </row>
    <row r="1150" spans="1:7" x14ac:dyDescent="0.2">
      <c r="A1150" s="381"/>
      <c r="B1150" s="267"/>
      <c r="C1150" s="293"/>
      <c r="D1150" s="193"/>
      <c r="E1150" s="142"/>
      <c r="F1150" s="143"/>
      <c r="G1150" s="64"/>
    </row>
    <row r="1151" spans="1:7" x14ac:dyDescent="0.2">
      <c r="A1151" s="381"/>
      <c r="B1151" s="267"/>
      <c r="C1151" s="293"/>
      <c r="D1151" s="193"/>
      <c r="E1151" s="142"/>
      <c r="F1151" s="143"/>
      <c r="G1151" s="64"/>
    </row>
    <row r="1152" spans="1:7" x14ac:dyDescent="0.2">
      <c r="A1152" s="381"/>
      <c r="B1152" s="267"/>
      <c r="C1152" s="293"/>
      <c r="D1152" s="193"/>
      <c r="E1152" s="142"/>
      <c r="F1152" s="143"/>
      <c r="G1152" s="64"/>
    </row>
    <row r="1153" spans="1:7" x14ac:dyDescent="0.2">
      <c r="A1153" s="381"/>
      <c r="B1153" s="267"/>
      <c r="C1153" s="293"/>
      <c r="D1153" s="193"/>
      <c r="E1153" s="142"/>
      <c r="F1153" s="143"/>
      <c r="G1153" s="64"/>
    </row>
    <row r="1154" spans="1:7" ht="12.75" thickBot="1" x14ac:dyDescent="0.25">
      <c r="A1154" s="410"/>
      <c r="B1154" s="339"/>
      <c r="C1154" s="340"/>
      <c r="D1154" s="330"/>
      <c r="E1154" s="157"/>
      <c r="F1154" s="158"/>
      <c r="G1154" s="64"/>
    </row>
    <row r="1155" spans="1:7" x14ac:dyDescent="0.2">
      <c r="A1155" s="374"/>
      <c r="B1155" s="115" t="s">
        <v>386</v>
      </c>
      <c r="C1155" s="370"/>
      <c r="D1155" s="166"/>
      <c r="E1155" s="372"/>
      <c r="F1155" s="210"/>
      <c r="G1155" s="167"/>
    </row>
    <row r="1156" spans="1:7" ht="12.75" thickBot="1" x14ac:dyDescent="0.25">
      <c r="A1156" s="102"/>
      <c r="B1156" s="103" t="s">
        <v>385</v>
      </c>
      <c r="C1156" s="104"/>
      <c r="D1156" s="105"/>
      <c r="E1156" s="106"/>
      <c r="F1156" s="211"/>
      <c r="G1156" s="107">
        <f>SUM(G909:G1155)</f>
        <v>0</v>
      </c>
    </row>
    <row r="1157" spans="1:7" x14ac:dyDescent="0.2">
      <c r="A1157" s="403"/>
      <c r="B1157" s="404" t="s">
        <v>387</v>
      </c>
      <c r="C1157" s="249"/>
      <c r="D1157" s="334"/>
      <c r="E1157" s="251"/>
      <c r="F1157" s="252"/>
      <c r="G1157" s="168"/>
    </row>
    <row r="1158" spans="1:7" x14ac:dyDescent="0.2">
      <c r="A1158" s="381"/>
      <c r="B1158" s="405" t="s">
        <v>382</v>
      </c>
      <c r="C1158" s="246"/>
      <c r="D1158" s="193"/>
      <c r="E1158" s="142"/>
      <c r="F1158" s="143"/>
      <c r="G1158" s="144"/>
    </row>
    <row r="1159" spans="1:7" x14ac:dyDescent="0.2">
      <c r="A1159" s="406">
        <v>14.1</v>
      </c>
      <c r="B1159" s="291" t="s">
        <v>40</v>
      </c>
      <c r="C1159" s="407"/>
      <c r="D1159" s="408"/>
      <c r="E1159" s="203"/>
      <c r="F1159" s="240"/>
      <c r="G1159" s="241"/>
    </row>
    <row r="1160" spans="1:7" x14ac:dyDescent="0.2">
      <c r="A1160" s="411"/>
      <c r="B1160" s="412" t="s">
        <v>405</v>
      </c>
      <c r="C1160" s="290"/>
      <c r="D1160" s="193"/>
      <c r="E1160" s="223"/>
      <c r="F1160" s="188"/>
      <c r="G1160" s="189"/>
    </row>
    <row r="1161" spans="1:7" x14ac:dyDescent="0.2">
      <c r="A1161" s="381"/>
      <c r="B1161" s="267"/>
      <c r="C1161" s="293"/>
      <c r="D1161" s="193"/>
      <c r="E1161" s="142"/>
      <c r="F1161" s="143"/>
      <c r="G1161" s="144"/>
    </row>
    <row r="1162" spans="1:7" x14ac:dyDescent="0.2">
      <c r="A1162" s="381"/>
      <c r="B1162" s="267"/>
      <c r="C1162" s="293"/>
      <c r="D1162" s="193"/>
      <c r="E1162" s="142"/>
      <c r="F1162" s="143"/>
      <c r="G1162" s="144"/>
    </row>
    <row r="1163" spans="1:7" x14ac:dyDescent="0.2">
      <c r="A1163" s="381"/>
      <c r="B1163" s="267"/>
      <c r="C1163" s="293"/>
      <c r="D1163" s="193"/>
      <c r="E1163" s="142"/>
      <c r="F1163" s="143"/>
      <c r="G1163" s="144"/>
    </row>
    <row r="1164" spans="1:7" x14ac:dyDescent="0.2">
      <c r="A1164" s="381"/>
      <c r="B1164" s="267"/>
      <c r="C1164" s="293"/>
      <c r="D1164" s="193"/>
      <c r="E1164" s="142"/>
      <c r="F1164" s="143"/>
      <c r="G1164" s="144"/>
    </row>
    <row r="1165" spans="1:7" x14ac:dyDescent="0.2">
      <c r="A1165" s="381"/>
      <c r="B1165" s="267"/>
      <c r="C1165" s="293"/>
      <c r="D1165" s="193"/>
      <c r="E1165" s="142"/>
      <c r="F1165" s="143"/>
      <c r="G1165" s="144"/>
    </row>
    <row r="1166" spans="1:7" x14ac:dyDescent="0.2">
      <c r="A1166" s="381"/>
      <c r="B1166" s="267"/>
      <c r="C1166" s="293"/>
      <c r="D1166" s="193"/>
      <c r="E1166" s="142"/>
      <c r="F1166" s="143"/>
      <c r="G1166" s="144"/>
    </row>
    <row r="1167" spans="1:7" x14ac:dyDescent="0.2">
      <c r="A1167" s="381"/>
      <c r="B1167" s="267"/>
      <c r="C1167" s="293"/>
      <c r="D1167" s="193"/>
      <c r="E1167" s="142"/>
      <c r="F1167" s="143"/>
      <c r="G1167" s="144"/>
    </row>
    <row r="1168" spans="1:7" x14ac:dyDescent="0.2">
      <c r="A1168" s="381"/>
      <c r="B1168" s="267"/>
      <c r="C1168" s="293"/>
      <c r="D1168" s="193"/>
      <c r="E1168" s="142"/>
      <c r="F1168" s="143"/>
      <c r="G1168" s="144"/>
    </row>
    <row r="1169" spans="1:7" x14ac:dyDescent="0.2">
      <c r="A1169" s="381"/>
      <c r="B1169" s="267"/>
      <c r="C1169" s="293"/>
      <c r="D1169" s="193"/>
      <c r="E1169" s="142"/>
      <c r="F1169" s="143"/>
      <c r="G1169" s="144"/>
    </row>
    <row r="1170" spans="1:7" x14ac:dyDescent="0.2">
      <c r="A1170" s="381"/>
      <c r="B1170" s="267"/>
      <c r="C1170" s="293"/>
      <c r="D1170" s="193"/>
      <c r="E1170" s="142"/>
      <c r="F1170" s="143"/>
      <c r="G1170" s="144"/>
    </row>
    <row r="1171" spans="1:7" x14ac:dyDescent="0.2">
      <c r="A1171" s="381"/>
      <c r="B1171" s="267"/>
      <c r="C1171" s="293"/>
      <c r="D1171" s="193"/>
      <c r="E1171" s="142"/>
      <c r="F1171" s="143"/>
      <c r="G1171" s="144"/>
    </row>
    <row r="1172" spans="1:7" x14ac:dyDescent="0.2">
      <c r="A1172" s="381"/>
      <c r="B1172" s="267"/>
      <c r="C1172" s="293"/>
      <c r="D1172" s="193"/>
      <c r="E1172" s="142"/>
      <c r="F1172" s="143"/>
      <c r="G1172" s="144"/>
    </row>
    <row r="1173" spans="1:7" x14ac:dyDescent="0.2">
      <c r="A1173" s="381"/>
      <c r="B1173" s="267"/>
      <c r="C1173" s="293"/>
      <c r="D1173" s="193"/>
      <c r="E1173" s="142"/>
      <c r="F1173" s="143"/>
      <c r="G1173" s="144"/>
    </row>
    <row r="1174" spans="1:7" x14ac:dyDescent="0.2">
      <c r="A1174" s="381"/>
      <c r="B1174" s="267"/>
      <c r="C1174" s="293"/>
      <c r="D1174" s="193"/>
      <c r="E1174" s="142"/>
      <c r="F1174" s="143"/>
      <c r="G1174" s="144"/>
    </row>
    <row r="1175" spans="1:7" x14ac:dyDescent="0.2">
      <c r="A1175" s="381"/>
      <c r="B1175" s="267"/>
      <c r="C1175" s="293"/>
      <c r="D1175" s="193"/>
      <c r="E1175" s="142"/>
      <c r="F1175" s="143"/>
      <c r="G1175" s="144"/>
    </row>
    <row r="1176" spans="1:7" x14ac:dyDescent="0.2">
      <c r="A1176" s="381"/>
      <c r="B1176" s="267"/>
      <c r="C1176" s="293"/>
      <c r="D1176" s="193"/>
      <c r="E1176" s="142"/>
      <c r="F1176" s="143"/>
      <c r="G1176" s="144"/>
    </row>
    <row r="1177" spans="1:7" x14ac:dyDescent="0.2">
      <c r="A1177" s="381"/>
      <c r="B1177" s="267"/>
      <c r="C1177" s="293"/>
      <c r="D1177" s="193"/>
      <c r="E1177" s="142"/>
      <c r="F1177" s="143"/>
      <c r="G1177" s="144"/>
    </row>
    <row r="1178" spans="1:7" x14ac:dyDescent="0.2">
      <c r="A1178" s="381"/>
      <c r="B1178" s="267"/>
      <c r="C1178" s="293"/>
      <c r="D1178" s="193"/>
      <c r="E1178" s="142"/>
      <c r="F1178" s="143"/>
      <c r="G1178" s="144"/>
    </row>
    <row r="1179" spans="1:7" x14ac:dyDescent="0.2">
      <c r="A1179" s="381"/>
      <c r="B1179" s="267"/>
      <c r="C1179" s="293"/>
      <c r="D1179" s="193"/>
      <c r="E1179" s="142"/>
      <c r="F1179" s="143"/>
      <c r="G1179" s="144"/>
    </row>
    <row r="1180" spans="1:7" x14ac:dyDescent="0.2">
      <c r="A1180" s="381"/>
      <c r="B1180" s="267"/>
      <c r="C1180" s="293"/>
      <c r="D1180" s="193"/>
      <c r="E1180" s="142"/>
      <c r="F1180" s="143"/>
      <c r="G1180" s="144"/>
    </row>
    <row r="1181" spans="1:7" x14ac:dyDescent="0.2">
      <c r="A1181" s="381"/>
      <c r="B1181" s="267"/>
      <c r="C1181" s="293"/>
      <c r="D1181" s="193"/>
      <c r="E1181" s="142"/>
      <c r="F1181" s="143"/>
      <c r="G1181" s="144"/>
    </row>
    <row r="1182" spans="1:7" x14ac:dyDescent="0.2">
      <c r="A1182" s="381"/>
      <c r="B1182" s="267"/>
      <c r="C1182" s="293"/>
      <c r="D1182" s="193"/>
      <c r="E1182" s="142"/>
      <c r="F1182" s="143"/>
      <c r="G1182" s="144"/>
    </row>
    <row r="1183" spans="1:7" x14ac:dyDescent="0.2">
      <c r="A1183" s="381"/>
      <c r="B1183" s="267"/>
      <c r="C1183" s="293"/>
      <c r="D1183" s="193"/>
      <c r="E1183" s="142"/>
      <c r="F1183" s="143"/>
      <c r="G1183" s="144"/>
    </row>
    <row r="1184" spans="1:7" x14ac:dyDescent="0.2">
      <c r="A1184" s="381"/>
      <c r="B1184" s="267"/>
      <c r="C1184" s="293"/>
      <c r="D1184" s="193"/>
      <c r="E1184" s="142"/>
      <c r="F1184" s="143"/>
      <c r="G1184" s="144"/>
    </row>
    <row r="1185" spans="1:7" x14ac:dyDescent="0.2">
      <c r="A1185" s="381"/>
      <c r="B1185" s="267"/>
      <c r="C1185" s="293"/>
      <c r="D1185" s="193"/>
      <c r="E1185" s="142"/>
      <c r="F1185" s="143"/>
      <c r="G1185" s="144"/>
    </row>
    <row r="1186" spans="1:7" x14ac:dyDescent="0.2">
      <c r="A1186" s="381"/>
      <c r="B1186" s="267"/>
      <c r="C1186" s="293"/>
      <c r="D1186" s="193"/>
      <c r="E1186" s="142"/>
      <c r="F1186" s="143"/>
      <c r="G1186" s="144"/>
    </row>
    <row r="1187" spans="1:7" x14ac:dyDescent="0.2">
      <c r="A1187" s="381"/>
      <c r="B1187" s="267"/>
      <c r="C1187" s="293"/>
      <c r="D1187" s="193"/>
      <c r="E1187" s="142"/>
      <c r="F1187" s="143"/>
      <c r="G1187" s="144"/>
    </row>
    <row r="1188" spans="1:7" x14ac:dyDescent="0.2">
      <c r="A1188" s="381"/>
      <c r="B1188" s="267"/>
      <c r="C1188" s="293"/>
      <c r="D1188" s="193"/>
      <c r="E1188" s="142"/>
      <c r="F1188" s="143"/>
      <c r="G1188" s="144"/>
    </row>
    <row r="1189" spans="1:7" x14ac:dyDescent="0.2">
      <c r="A1189" s="381"/>
      <c r="B1189" s="267"/>
      <c r="C1189" s="293"/>
      <c r="D1189" s="193"/>
      <c r="E1189" s="142"/>
      <c r="F1189" s="143"/>
      <c r="G1189" s="144"/>
    </row>
    <row r="1190" spans="1:7" x14ac:dyDescent="0.2">
      <c r="A1190" s="381"/>
      <c r="B1190" s="267"/>
      <c r="C1190" s="293"/>
      <c r="D1190" s="193"/>
      <c r="E1190" s="142"/>
      <c r="F1190" s="143"/>
      <c r="G1190" s="144"/>
    </row>
    <row r="1191" spans="1:7" x14ac:dyDescent="0.2">
      <c r="A1191" s="381"/>
      <c r="B1191" s="267"/>
      <c r="C1191" s="293"/>
      <c r="D1191" s="193"/>
      <c r="E1191" s="142"/>
      <c r="F1191" s="143"/>
      <c r="G1191" s="144"/>
    </row>
    <row r="1192" spans="1:7" x14ac:dyDescent="0.2">
      <c r="A1192" s="381"/>
      <c r="B1192" s="267"/>
      <c r="C1192" s="293"/>
      <c r="D1192" s="193"/>
      <c r="E1192" s="142"/>
      <c r="F1192" s="143"/>
      <c r="G1192" s="144"/>
    </row>
    <row r="1193" spans="1:7" x14ac:dyDescent="0.2">
      <c r="A1193" s="381"/>
      <c r="B1193" s="267"/>
      <c r="C1193" s="293"/>
      <c r="D1193" s="193"/>
      <c r="E1193" s="142"/>
      <c r="F1193" s="143"/>
      <c r="G1193" s="144"/>
    </row>
    <row r="1194" spans="1:7" x14ac:dyDescent="0.2">
      <c r="A1194" s="381"/>
      <c r="B1194" s="267"/>
      <c r="C1194" s="293"/>
      <c r="D1194" s="193"/>
      <c r="E1194" s="142"/>
      <c r="F1194" s="143"/>
      <c r="G1194" s="144"/>
    </row>
    <row r="1195" spans="1:7" x14ac:dyDescent="0.2">
      <c r="A1195" s="381"/>
      <c r="B1195" s="267"/>
      <c r="C1195" s="293"/>
      <c r="D1195" s="193"/>
      <c r="E1195" s="142"/>
      <c r="F1195" s="143"/>
      <c r="G1195" s="144"/>
    </row>
    <row r="1196" spans="1:7" x14ac:dyDescent="0.2">
      <c r="A1196" s="381"/>
      <c r="B1196" s="267"/>
      <c r="C1196" s="293"/>
      <c r="D1196" s="193"/>
      <c r="E1196" s="142"/>
      <c r="F1196" s="143"/>
      <c r="G1196" s="144"/>
    </row>
    <row r="1197" spans="1:7" x14ac:dyDescent="0.2">
      <c r="A1197" s="381"/>
      <c r="B1197" s="267"/>
      <c r="C1197" s="293"/>
      <c r="D1197" s="193"/>
      <c r="E1197" s="142"/>
      <c r="F1197" s="143"/>
      <c r="G1197" s="144"/>
    </row>
    <row r="1198" spans="1:7" x14ac:dyDescent="0.2">
      <c r="A1198" s="381"/>
      <c r="B1198" s="267"/>
      <c r="C1198" s="293"/>
      <c r="D1198" s="193"/>
      <c r="E1198" s="142"/>
      <c r="F1198" s="143"/>
      <c r="G1198" s="144"/>
    </row>
    <row r="1199" spans="1:7" x14ac:dyDescent="0.2">
      <c r="A1199" s="381"/>
      <c r="B1199" s="267"/>
      <c r="C1199" s="293"/>
      <c r="D1199" s="193"/>
      <c r="E1199" s="142"/>
      <c r="F1199" s="143"/>
      <c r="G1199" s="144"/>
    </row>
    <row r="1200" spans="1:7" x14ac:dyDescent="0.2">
      <c r="A1200" s="381"/>
      <c r="B1200" s="267"/>
      <c r="C1200" s="293"/>
      <c r="D1200" s="193"/>
      <c r="E1200" s="142"/>
      <c r="F1200" s="143"/>
      <c r="G1200" s="144"/>
    </row>
    <row r="1201" spans="1:7" x14ac:dyDescent="0.2">
      <c r="A1201" s="381"/>
      <c r="B1201" s="267"/>
      <c r="C1201" s="293"/>
      <c r="D1201" s="193"/>
      <c r="E1201" s="142"/>
      <c r="F1201" s="143"/>
      <c r="G1201" s="144"/>
    </row>
    <row r="1202" spans="1:7" x14ac:dyDescent="0.2">
      <c r="A1202" s="381"/>
      <c r="B1202" s="267"/>
      <c r="C1202" s="293"/>
      <c r="D1202" s="193"/>
      <c r="E1202" s="142"/>
      <c r="F1202" s="143"/>
      <c r="G1202" s="144"/>
    </row>
    <row r="1203" spans="1:7" x14ac:dyDescent="0.2">
      <c r="A1203" s="381"/>
      <c r="B1203" s="267"/>
      <c r="C1203" s="293"/>
      <c r="D1203" s="193"/>
      <c r="E1203" s="142"/>
      <c r="F1203" s="143"/>
      <c r="G1203" s="144"/>
    </row>
    <row r="1204" spans="1:7" x14ac:dyDescent="0.2">
      <c r="A1204" s="381"/>
      <c r="B1204" s="267"/>
      <c r="C1204" s="293"/>
      <c r="D1204" s="193"/>
      <c r="E1204" s="142"/>
      <c r="F1204" s="143"/>
      <c r="G1204" s="144"/>
    </row>
    <row r="1205" spans="1:7" x14ac:dyDescent="0.2">
      <c r="A1205" s="381"/>
      <c r="B1205" s="267"/>
      <c r="C1205" s="293"/>
      <c r="D1205" s="193"/>
      <c r="E1205" s="142"/>
      <c r="F1205" s="143"/>
      <c r="G1205" s="144"/>
    </row>
    <row r="1206" spans="1:7" x14ac:dyDescent="0.2">
      <c r="A1206" s="381"/>
      <c r="B1206" s="267"/>
      <c r="C1206" s="293"/>
      <c r="D1206" s="193"/>
      <c r="E1206" s="142"/>
      <c r="F1206" s="143"/>
      <c r="G1206" s="144"/>
    </row>
    <row r="1207" spans="1:7" x14ac:dyDescent="0.2">
      <c r="A1207" s="381"/>
      <c r="B1207" s="267"/>
      <c r="C1207" s="293"/>
      <c r="D1207" s="193"/>
      <c r="E1207" s="142"/>
      <c r="F1207" s="143"/>
      <c r="G1207" s="144"/>
    </row>
    <row r="1208" spans="1:7" x14ac:dyDescent="0.2">
      <c r="A1208" s="381"/>
      <c r="B1208" s="267"/>
      <c r="C1208" s="293"/>
      <c r="D1208" s="193"/>
      <c r="E1208" s="142"/>
      <c r="F1208" s="143"/>
      <c r="G1208" s="144"/>
    </row>
    <row r="1209" spans="1:7" x14ac:dyDescent="0.2">
      <c r="A1209" s="381"/>
      <c r="B1209" s="267"/>
      <c r="C1209" s="293"/>
      <c r="D1209" s="193"/>
      <c r="E1209" s="142"/>
      <c r="F1209" s="143"/>
      <c r="G1209" s="144"/>
    </row>
    <row r="1210" spans="1:7" x14ac:dyDescent="0.2">
      <c r="A1210" s="381"/>
      <c r="B1210" s="267"/>
      <c r="C1210" s="293"/>
      <c r="D1210" s="193"/>
      <c r="E1210" s="142"/>
      <c r="F1210" s="143"/>
      <c r="G1210" s="144"/>
    </row>
    <row r="1211" spans="1:7" x14ac:dyDescent="0.2">
      <c r="A1211" s="381"/>
      <c r="B1211" s="267"/>
      <c r="C1211" s="293"/>
      <c r="D1211" s="193"/>
      <c r="E1211" s="142"/>
      <c r="F1211" s="143"/>
      <c r="G1211" s="144"/>
    </row>
    <row r="1212" spans="1:7" x14ac:dyDescent="0.2">
      <c r="A1212" s="381"/>
      <c r="B1212" s="267"/>
      <c r="C1212" s="293"/>
      <c r="D1212" s="193"/>
      <c r="E1212" s="142"/>
      <c r="F1212" s="143"/>
      <c r="G1212" s="144"/>
    </row>
    <row r="1213" spans="1:7" x14ac:dyDescent="0.2">
      <c r="A1213" s="381"/>
      <c r="B1213" s="267"/>
      <c r="C1213" s="293"/>
      <c r="D1213" s="193"/>
      <c r="E1213" s="142"/>
      <c r="F1213" s="143"/>
      <c r="G1213" s="144"/>
    </row>
    <row r="1214" spans="1:7" x14ac:dyDescent="0.2">
      <c r="A1214" s="381"/>
      <c r="B1214" s="267"/>
      <c r="C1214" s="293"/>
      <c r="D1214" s="193"/>
      <c r="E1214" s="142"/>
      <c r="F1214" s="143"/>
      <c r="G1214" s="144"/>
    </row>
    <row r="1215" spans="1:7" x14ac:dyDescent="0.2">
      <c r="A1215" s="381"/>
      <c r="B1215" s="267"/>
      <c r="C1215" s="293"/>
      <c r="D1215" s="193"/>
      <c r="E1215" s="142"/>
      <c r="F1215" s="143"/>
      <c r="G1215" s="144"/>
    </row>
    <row r="1216" spans="1:7" x14ac:dyDescent="0.2">
      <c r="A1216" s="381"/>
      <c r="B1216" s="267"/>
      <c r="C1216" s="293"/>
      <c r="D1216" s="193"/>
      <c r="E1216" s="142"/>
      <c r="F1216" s="143"/>
      <c r="G1216" s="144"/>
    </row>
    <row r="1217" spans="1:7" x14ac:dyDescent="0.2">
      <c r="A1217" s="381"/>
      <c r="B1217" s="267"/>
      <c r="C1217" s="293"/>
      <c r="D1217" s="193"/>
      <c r="E1217" s="142"/>
      <c r="F1217" s="143"/>
      <c r="G1217" s="144"/>
    </row>
    <row r="1218" spans="1:7" x14ac:dyDescent="0.2">
      <c r="A1218" s="381"/>
      <c r="B1218" s="267"/>
      <c r="C1218" s="293"/>
      <c r="D1218" s="193"/>
      <c r="E1218" s="142"/>
      <c r="F1218" s="143"/>
      <c r="G1218" s="144"/>
    </row>
    <row r="1219" spans="1:7" x14ac:dyDescent="0.2">
      <c r="A1219" s="381"/>
      <c r="B1219" s="267"/>
      <c r="C1219" s="293"/>
      <c r="D1219" s="193"/>
      <c r="E1219" s="142"/>
      <c r="F1219" s="143"/>
      <c r="G1219" s="144"/>
    </row>
    <row r="1220" spans="1:7" ht="12.75" thickBot="1" x14ac:dyDescent="0.25">
      <c r="A1220" s="381"/>
      <c r="B1220" s="267"/>
      <c r="C1220" s="293"/>
      <c r="D1220" s="193"/>
      <c r="E1220" s="142"/>
      <c r="F1220" s="143"/>
      <c r="G1220" s="144"/>
    </row>
    <row r="1221" spans="1:7" x14ac:dyDescent="0.2">
      <c r="A1221" s="374"/>
      <c r="B1221" s="115" t="s">
        <v>388</v>
      </c>
      <c r="C1221" s="370"/>
      <c r="D1221" s="166"/>
      <c r="E1221" s="372"/>
      <c r="F1221" s="210"/>
      <c r="G1221" s="168"/>
    </row>
    <row r="1222" spans="1:7" ht="12.75" thickBot="1" x14ac:dyDescent="0.25">
      <c r="A1222" s="102"/>
      <c r="B1222" s="103" t="s">
        <v>389</v>
      </c>
      <c r="C1222" s="104"/>
      <c r="D1222" s="105"/>
      <c r="E1222" s="106"/>
      <c r="F1222" s="211"/>
      <c r="G1222" s="169">
        <f>SUM(G1162:G1221)</f>
        <v>0</v>
      </c>
    </row>
  </sheetData>
  <mergeCells count="49">
    <mergeCell ref="B716:F716"/>
    <mergeCell ref="B1028:F1028"/>
    <mergeCell ref="B1029:F1029"/>
    <mergeCell ref="B1030:F1030"/>
    <mergeCell ref="B1031:F1031"/>
    <mergeCell ref="B905:F905"/>
    <mergeCell ref="B906:F906"/>
    <mergeCell ref="B907:F907"/>
    <mergeCell ref="B908:F908"/>
    <mergeCell ref="B909:F909"/>
    <mergeCell ref="B791:F791"/>
    <mergeCell ref="B792:F792"/>
    <mergeCell ref="B793:F793"/>
    <mergeCell ref="B794:F794"/>
    <mergeCell ref="B795:F795"/>
    <mergeCell ref="B688:F688"/>
    <mergeCell ref="B689:F689"/>
    <mergeCell ref="B490:F490"/>
    <mergeCell ref="B517:F517"/>
    <mergeCell ref="B518:F518"/>
    <mergeCell ref="B519:F519"/>
    <mergeCell ref="B520:F520"/>
    <mergeCell ref="B657:E657"/>
    <mergeCell ref="B658:E658"/>
    <mergeCell ref="B659:E659"/>
    <mergeCell ref="B686:F686"/>
    <mergeCell ref="B687:F687"/>
    <mergeCell ref="B597:F597"/>
    <mergeCell ref="B598:F598"/>
    <mergeCell ref="A1:G1"/>
    <mergeCell ref="B188:F188"/>
    <mergeCell ref="B189:F189"/>
    <mergeCell ref="B190:F190"/>
    <mergeCell ref="B191:F191"/>
    <mergeCell ref="B251:F251"/>
    <mergeCell ref="B252:F252"/>
    <mergeCell ref="B253:F253"/>
    <mergeCell ref="B125:F125"/>
    <mergeCell ref="B126:F126"/>
    <mergeCell ref="B127:F127"/>
    <mergeCell ref="B444:F444"/>
    <mergeCell ref="B594:F594"/>
    <mergeCell ref="B595:F595"/>
    <mergeCell ref="B596:F596"/>
    <mergeCell ref="B407:E407"/>
    <mergeCell ref="B408:E408"/>
    <mergeCell ref="B409:E409"/>
    <mergeCell ref="B442:F442"/>
    <mergeCell ref="B443:F443"/>
  </mergeCells>
  <pageMargins left="0.59055118110236204" right="0.59055118110236204" top="0.59055118110236204" bottom="0.59055118110236204" header="0.23622047244094499" footer="0.23622047244094499"/>
  <pageSetup paperSize="9" scale="92" orientation="portrait" horizontalDpi="4294967293" verticalDpi="300" r:id="rId1"/>
  <headerFooter>
    <oddHeader>&amp;L&amp;8DH. KUDAHUVADHOO&amp;R&amp;8     BILL OF QUANTITIES</oddHeader>
    <oddFooter>&amp;L&amp;8FEBRUARY 2017&amp;C&amp;8&amp;P&amp;R&amp;9Riyan(Pvt)Ltd</oddFooter>
  </headerFooter>
  <rowBreaks count="2" manualBreakCount="2">
    <brk id="535" max="6" man="1"/>
    <brk id="589"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vt:lpstr>
      <vt:lpstr>Summary</vt:lpstr>
      <vt:lpstr>Boq</vt:lpstr>
      <vt:lpstr>Boq!Print_Area</vt:lpstr>
      <vt:lpstr>'Cover '!Print_Area</vt:lpstr>
      <vt:lpstr>Summary!Print_Area</vt:lpstr>
      <vt:lpstr>Boq!Print_Titles</vt:lpstr>
    </vt:vector>
  </TitlesOfParts>
  <Company>BinArch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Mohamed Shafeeulla Mohamed Rasheed</cp:lastModifiedBy>
  <cp:lastPrinted>2017-02-05T04:11:11Z</cp:lastPrinted>
  <dcterms:created xsi:type="dcterms:W3CDTF">2011-03-24T06:48:27Z</dcterms:created>
  <dcterms:modified xsi:type="dcterms:W3CDTF">2017-02-05T04:14:43Z</dcterms:modified>
</cp:coreProperties>
</file>