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01"/>
  <workbookPr defaultThemeVersion="124226"/>
  <mc:AlternateContent xmlns:mc="http://schemas.openxmlformats.org/markup-compatibility/2006">
    <mc:Choice Requires="x15">
      <x15ac:absPath xmlns:x15ac="http://schemas.microsoft.com/office/spreadsheetml/2010/11/ac" url="P:\MoE Consultancy Project\2-Design\5. Projects\Package C\26. HA. Uligamu- 8 classrooms, Science lab, AV room and boundary wall\4. BOQ\"/>
    </mc:Choice>
  </mc:AlternateContent>
  <xr:revisionPtr revIDLastSave="0" documentId="13_ncr:1_{9ACCECEC-D3DE-42B9-991C-8539FE56B782}" xr6:coauthVersionLast="43" xr6:coauthVersionMax="43" xr10:uidLastSave="{00000000-0000-0000-0000-000000000000}"/>
  <bookViews>
    <workbookView xWindow="3585" yWindow="165" windowWidth="14805" windowHeight="14670" xr2:uid="{00000000-000D-0000-FFFF-FFFF00000000}"/>
  </bookViews>
  <sheets>
    <sheet name="Cover" sheetId="3" r:id="rId1"/>
    <sheet name="Summary" sheetId="2" r:id="rId2"/>
    <sheet name="Boq" sheetId="1" r:id="rId3"/>
  </sheets>
  <definedNames>
    <definedName name="_xlnm.Print_Area" localSheetId="2">Boq!$A$1:$G$842</definedName>
    <definedName name="_xlnm.Print_Area" localSheetId="0">Cover!$A$1:$A$34</definedName>
    <definedName name="_xlnm.Print_Area" localSheetId="1">Summary!$A$1:$C$23</definedName>
    <definedName name="_xlnm.Print_Titles" localSheetId="2">Boq!$3:$3</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418" i="1" l="1"/>
  <c r="B419" i="1"/>
  <c r="B420" i="1"/>
  <c r="B421" i="1"/>
  <c r="B422" i="1"/>
  <c r="B423" i="1"/>
  <c r="B424" i="1"/>
  <c r="B431" i="1"/>
  <c r="B511" i="1" s="1"/>
  <c r="B432" i="1"/>
  <c r="B512" i="1" s="1"/>
  <c r="B433" i="1"/>
  <c r="B513" i="1" s="1"/>
  <c r="B434" i="1"/>
  <c r="B514" i="1" s="1"/>
  <c r="B435" i="1"/>
  <c r="B515" i="1" s="1"/>
  <c r="I406" i="1"/>
  <c r="L397" i="1"/>
  <c r="K397" i="1"/>
  <c r="J397" i="1"/>
  <c r="I397" i="1"/>
  <c r="L396" i="1"/>
  <c r="K396" i="1"/>
  <c r="J396" i="1"/>
  <c r="I396" i="1"/>
  <c r="J304" i="1"/>
  <c r="I304" i="1"/>
  <c r="J227" i="1"/>
  <c r="K304" i="1" l="1"/>
  <c r="M397" i="1"/>
  <c r="M396" i="1"/>
  <c r="I487" i="1" l="1"/>
  <c r="I485" i="1"/>
  <c r="I473" i="1"/>
  <c r="I471" i="1"/>
  <c r="J487" i="1" l="1"/>
  <c r="J485" i="1"/>
  <c r="J473" i="1"/>
  <c r="J471" i="1"/>
  <c r="I227" i="1" l="1"/>
  <c r="J160" i="1"/>
  <c r="J161" i="1"/>
  <c r="J302" i="1" l="1"/>
  <c r="I302" i="1"/>
  <c r="J303" i="1"/>
  <c r="I303" i="1"/>
  <c r="J288" i="1"/>
  <c r="J287" i="1"/>
  <c r="J286" i="1"/>
  <c r="J206" i="1"/>
  <c r="K302" i="1" l="1"/>
  <c r="K303" i="1"/>
  <c r="K437" i="1"/>
  <c r="I437" i="1"/>
  <c r="J437" i="1" s="1"/>
  <c r="B430" i="1"/>
  <c r="B510" i="1" s="1"/>
  <c r="B417" i="1"/>
  <c r="I407" i="1"/>
  <c r="I394" i="1"/>
  <c r="I399" i="1"/>
  <c r="I288" i="1" l="1"/>
  <c r="I287" i="1"/>
  <c r="L437" i="1"/>
  <c r="I343" i="1"/>
  <c r="J343" i="1" s="1"/>
  <c r="I350" i="1"/>
  <c r="J350" i="1" s="1"/>
  <c r="J306" i="1"/>
  <c r="I306" i="1"/>
  <c r="J301" i="1"/>
  <c r="I301" i="1"/>
  <c r="B204" i="1"/>
  <c r="B280" i="1" s="1"/>
  <c r="B203" i="1"/>
  <c r="B277" i="1" s="1"/>
  <c r="B195" i="1"/>
  <c r="B194" i="1"/>
  <c r="K301" i="1" l="1"/>
  <c r="K306" i="1"/>
  <c r="K408" i="1" l="1"/>
  <c r="J408" i="1"/>
  <c r="I408" i="1"/>
  <c r="I405" i="1"/>
  <c r="I404" i="1"/>
  <c r="L403" i="1"/>
  <c r="K403" i="1"/>
  <c r="J403" i="1"/>
  <c r="I403" i="1"/>
  <c r="I488" i="1"/>
  <c r="I486" i="1"/>
  <c r="I482" i="1"/>
  <c r="L484" i="1" s="1"/>
  <c r="I481" i="1"/>
  <c r="I477" i="1"/>
  <c r="I476" i="1"/>
  <c r="J285" i="1"/>
  <c r="J284" i="1"/>
  <c r="J282" i="1"/>
  <c r="J281" i="1"/>
  <c r="J279" i="1"/>
  <c r="J278" i="1"/>
  <c r="J283" i="1"/>
  <c r="I280" i="1"/>
  <c r="J280" i="1" s="1"/>
  <c r="I277" i="1"/>
  <c r="J277" i="1" s="1"/>
  <c r="J274" i="1"/>
  <c r="J273" i="1"/>
  <c r="I272" i="1"/>
  <c r="J271" i="1"/>
  <c r="J270" i="1"/>
  <c r="I269" i="1"/>
  <c r="J268" i="1"/>
  <c r="J267" i="1"/>
  <c r="Q266" i="1"/>
  <c r="R266" i="1" s="1"/>
  <c r="I266" i="1"/>
  <c r="J265" i="1"/>
  <c r="J264" i="1"/>
  <c r="Q263" i="1"/>
  <c r="R263" i="1" s="1"/>
  <c r="I263" i="1"/>
  <c r="J259" i="1"/>
  <c r="J258" i="1"/>
  <c r="J256" i="1"/>
  <c r="J255" i="1"/>
  <c r="J253" i="1"/>
  <c r="J252" i="1"/>
  <c r="J257" i="1"/>
  <c r="I254" i="1"/>
  <c r="J254" i="1" s="1"/>
  <c r="I251" i="1"/>
  <c r="J251" i="1" s="1"/>
  <c r="J244" i="1"/>
  <c r="J243" i="1"/>
  <c r="J241" i="1"/>
  <c r="J240" i="1"/>
  <c r="J238" i="1"/>
  <c r="J237" i="1"/>
  <c r="J235" i="1"/>
  <c r="J234" i="1"/>
  <c r="I242" i="1"/>
  <c r="I239" i="1"/>
  <c r="Q236" i="1"/>
  <c r="R236" i="1" s="1"/>
  <c r="I236" i="1"/>
  <c r="Q233" i="1"/>
  <c r="R233" i="1" s="1"/>
  <c r="I233" i="1"/>
  <c r="J230" i="1"/>
  <c r="J229" i="1"/>
  <c r="J225" i="1"/>
  <c r="J223" i="1"/>
  <c r="J221" i="1"/>
  <c r="J219" i="1"/>
  <c r="J217" i="1"/>
  <c r="I228" i="1"/>
  <c r="J228" i="1" s="1"/>
  <c r="J205" i="1"/>
  <c r="I204" i="1"/>
  <c r="J204" i="1" s="1"/>
  <c r="I203" i="1"/>
  <c r="J203" i="1" s="1"/>
  <c r="I200" i="1"/>
  <c r="I199" i="1"/>
  <c r="Q198" i="1"/>
  <c r="R198" i="1" s="1"/>
  <c r="I198" i="1"/>
  <c r="Q197" i="1"/>
  <c r="R197" i="1" s="1"/>
  <c r="I197" i="1"/>
  <c r="J195" i="1"/>
  <c r="I195" i="1"/>
  <c r="J194" i="1"/>
  <c r="I194" i="1"/>
  <c r="J192" i="1"/>
  <c r="I191" i="1"/>
  <c r="J191" i="1" s="1"/>
  <c r="I190" i="1"/>
  <c r="J190" i="1" s="1"/>
  <c r="I183" i="1"/>
  <c r="I182" i="1"/>
  <c r="Q181" i="1"/>
  <c r="R181" i="1" s="1"/>
  <c r="I181" i="1"/>
  <c r="Q180" i="1"/>
  <c r="R180" i="1" s="1"/>
  <c r="I180" i="1"/>
  <c r="I177" i="1"/>
  <c r="J177" i="1" s="1"/>
  <c r="I159" i="1"/>
  <c r="J159" i="1" s="1"/>
  <c r="I158" i="1"/>
  <c r="J158" i="1" s="1"/>
  <c r="I155" i="1"/>
  <c r="I154" i="1"/>
  <c r="Q153" i="1"/>
  <c r="R153" i="1" s="1"/>
  <c r="I153" i="1"/>
  <c r="Q152" i="1"/>
  <c r="R152" i="1" s="1"/>
  <c r="I152" i="1"/>
  <c r="J150" i="1"/>
  <c r="I150" i="1"/>
  <c r="Q136" i="1"/>
  <c r="R136" i="1" s="1"/>
  <c r="Q135" i="1"/>
  <c r="R135" i="1" s="1"/>
  <c r="I221" i="1" l="1"/>
  <c r="I219" i="1"/>
  <c r="I225" i="1"/>
  <c r="L408" i="1"/>
  <c r="M403" i="1"/>
  <c r="J481" i="1"/>
  <c r="J476" i="1"/>
  <c r="J477" i="1"/>
  <c r="J482" i="1"/>
  <c r="L483" i="1" s="1"/>
  <c r="J486" i="1"/>
  <c r="J488" i="1"/>
  <c r="I284" i="1"/>
  <c r="I281" i="1"/>
  <c r="I278" i="1"/>
  <c r="R269" i="1"/>
  <c r="I267" i="1"/>
  <c r="I258" i="1"/>
  <c r="I255" i="1"/>
  <c r="I252" i="1"/>
  <c r="I229" i="1"/>
  <c r="R239" i="1"/>
  <c r="I234" i="1"/>
  <c r="I243" i="1"/>
  <c r="I240" i="1"/>
  <c r="I237" i="1"/>
  <c r="R154" i="1"/>
  <c r="R182" i="1"/>
  <c r="K194" i="1"/>
  <c r="L194" i="1" s="1"/>
  <c r="K195" i="1"/>
  <c r="L195" i="1" s="1"/>
  <c r="R199" i="1"/>
  <c r="K150" i="1"/>
  <c r="L150" i="1" s="1"/>
  <c r="R137" i="1"/>
  <c r="I137" i="1"/>
  <c r="I101" i="1"/>
  <c r="J101" i="1" s="1"/>
  <c r="I273" i="1" l="1"/>
  <c r="I285" i="1"/>
  <c r="I223" i="1"/>
  <c r="I264" i="1"/>
  <c r="I268" i="1"/>
  <c r="I259" i="1"/>
  <c r="I270" i="1"/>
  <c r="I265" i="1"/>
  <c r="I274" i="1"/>
  <c r="I271" i="1"/>
  <c r="I256" i="1"/>
  <c r="I238" i="1"/>
  <c r="I244" i="1"/>
  <c r="I217" i="1"/>
  <c r="I235" i="1"/>
  <c r="I230" i="1"/>
  <c r="I366" i="1"/>
  <c r="I279" i="1" l="1"/>
  <c r="I282" i="1"/>
  <c r="I253" i="1"/>
  <c r="I241" i="1"/>
  <c r="I106" i="1" l="1"/>
  <c r="J142" i="1"/>
  <c r="I579" i="1"/>
  <c r="I576" i="1"/>
  <c r="I575" i="1"/>
  <c r="J575" i="1" s="1"/>
  <c r="I569" i="1"/>
  <c r="L374" i="1"/>
  <c r="M374" i="1" s="1"/>
  <c r="N374" i="1" s="1"/>
  <c r="M372" i="1"/>
  <c r="I541" i="1"/>
  <c r="I518" i="1"/>
  <c r="I427" i="1"/>
  <c r="J427" i="1" s="1"/>
  <c r="K426" i="1"/>
  <c r="I426" i="1"/>
  <c r="J426" i="1" s="1"/>
  <c r="I400" i="1"/>
  <c r="I398" i="1"/>
  <c r="L395" i="1"/>
  <c r="K395" i="1"/>
  <c r="J395" i="1"/>
  <c r="I395" i="1"/>
  <c r="K375" i="1"/>
  <c r="I375" i="1"/>
  <c r="J375" i="1" s="1"/>
  <c r="I355" i="1"/>
  <c r="I374" i="1"/>
  <c r="J374" i="1" s="1"/>
  <c r="I371" i="1"/>
  <c r="J371" i="1" s="1"/>
  <c r="L371" i="1" s="1"/>
  <c r="M371" i="1" s="1"/>
  <c r="P371" i="1"/>
  <c r="Q371" i="1" s="1"/>
  <c r="N371" i="1"/>
  <c r="P372" i="1"/>
  <c r="I372" i="1"/>
  <c r="P367" i="1"/>
  <c r="P366" i="1"/>
  <c r="Q366" i="1" s="1"/>
  <c r="L368" i="1"/>
  <c r="M368" i="1" s="1"/>
  <c r="N368" i="1" s="1"/>
  <c r="I369" i="1"/>
  <c r="J369" i="1" s="1"/>
  <c r="I368" i="1"/>
  <c r="J368" i="1" s="1"/>
  <c r="K369" i="1"/>
  <c r="I347" i="1"/>
  <c r="J347" i="1" s="1"/>
  <c r="L347" i="1" s="1"/>
  <c r="M347" i="1" s="1"/>
  <c r="I342" i="1"/>
  <c r="J342" i="1" s="1"/>
  <c r="J366" i="1"/>
  <c r="L366" i="1" s="1"/>
  <c r="M366" i="1" s="1"/>
  <c r="N366" i="1"/>
  <c r="I367" i="1"/>
  <c r="I349" i="1"/>
  <c r="J349" i="1" s="1"/>
  <c r="I340" i="1"/>
  <c r="J340" i="1" s="1"/>
  <c r="I475" i="1"/>
  <c r="I472" i="1"/>
  <c r="I468" i="1"/>
  <c r="L470" i="1" s="1"/>
  <c r="I467" i="1"/>
  <c r="I466" i="1"/>
  <c r="J299" i="1"/>
  <c r="I299" i="1"/>
  <c r="K297" i="1"/>
  <c r="I297" i="1"/>
  <c r="J297" i="1"/>
  <c r="L426" i="1" l="1"/>
  <c r="O366" i="1"/>
  <c r="Q367" i="1" s="1"/>
  <c r="M395" i="1"/>
  <c r="L369" i="1"/>
  <c r="N369" i="1" s="1"/>
  <c r="O369" i="1" s="1"/>
  <c r="O371" i="1"/>
  <c r="Q372" i="1" s="1"/>
  <c r="N372" i="1" s="1"/>
  <c r="L375" i="1"/>
  <c r="N375" i="1" s="1"/>
  <c r="O375" i="1" s="1"/>
  <c r="M297" i="1"/>
  <c r="K299" i="1"/>
  <c r="I136" i="1" l="1"/>
  <c r="I135" i="1"/>
  <c r="J187" i="1" l="1"/>
  <c r="I187" i="1"/>
  <c r="J149" i="1"/>
  <c r="I149" i="1"/>
  <c r="J541" i="1"/>
  <c r="J475" i="1"/>
  <c r="J472" i="1"/>
  <c r="J468" i="1"/>
  <c r="J467" i="1"/>
  <c r="J466" i="1"/>
  <c r="K401" i="1"/>
  <c r="J401" i="1"/>
  <c r="I401" i="1"/>
  <c r="O381" i="1"/>
  <c r="N381" i="1"/>
  <c r="M381" i="1"/>
  <c r="L381" i="1"/>
  <c r="K381" i="1"/>
  <c r="I261" i="1"/>
  <c r="I248" i="1"/>
  <c r="I246" i="1"/>
  <c r="M165" i="1"/>
  <c r="J147" i="1"/>
  <c r="I146" i="1"/>
  <c r="J146" i="1" s="1"/>
  <c r="I145" i="1"/>
  <c r="I536" i="1" l="1"/>
  <c r="I337" i="1"/>
  <c r="J337" i="1" s="1"/>
  <c r="K260" i="1"/>
  <c r="L260" i="1" s="1"/>
  <c r="M260" i="1" s="1"/>
  <c r="N260" i="1" s="1"/>
  <c r="O260" i="1" s="1"/>
  <c r="K149" i="1"/>
  <c r="L149" i="1" s="1"/>
  <c r="P381" i="1"/>
  <c r="K187" i="1"/>
  <c r="K466" i="1"/>
  <c r="L469" i="1"/>
  <c r="L401" i="1"/>
  <c r="L340" i="1" l="1"/>
  <c r="M340" i="1" s="1"/>
  <c r="I442" i="1"/>
  <c r="J442" i="1" s="1"/>
  <c r="K442" i="1" s="1"/>
  <c r="I142" i="1" l="1"/>
  <c r="I138" i="1"/>
  <c r="I132" i="1"/>
  <c r="J132" i="1" s="1"/>
  <c r="J122" i="1"/>
  <c r="I123" i="1"/>
  <c r="J123" i="1" s="1"/>
  <c r="P122" i="1"/>
  <c r="O122" i="1"/>
  <c r="N122" i="1"/>
  <c r="M122" i="1"/>
  <c r="L122" i="1"/>
  <c r="K122" i="1"/>
  <c r="I122" i="1"/>
  <c r="I94" i="1"/>
  <c r="K93" i="1"/>
  <c r="P93" i="1"/>
  <c r="O93" i="1"/>
  <c r="N93" i="1"/>
  <c r="M93" i="1"/>
  <c r="L93" i="1"/>
  <c r="J93" i="1"/>
  <c r="I93" i="1"/>
  <c r="K142" i="1" l="1"/>
  <c r="J94" i="1"/>
  <c r="Q93" i="1"/>
  <c r="R93" i="1" s="1"/>
  <c r="Q122" i="1"/>
  <c r="R122" i="1" s="1"/>
  <c r="L123" i="1" s="1"/>
  <c r="L142" i="1" l="1"/>
  <c r="K248" i="1"/>
  <c r="L248" i="1" s="1"/>
  <c r="M248" i="1" s="1"/>
  <c r="L94" i="1"/>
  <c r="J145" i="1" l="1"/>
  <c r="I87" i="1"/>
  <c r="I90" i="1" l="1"/>
  <c r="C21" i="2" l="1"/>
  <c r="C22" i="2" s="1"/>
  <c r="C23" i="2" s="1"/>
  <c r="F21" i="2" l="1"/>
  <c r="F20" i="2"/>
</calcChain>
</file>

<file path=xl/sharedStrings.xml><?xml version="1.0" encoding="utf-8"?>
<sst xmlns="http://schemas.openxmlformats.org/spreadsheetml/2006/main" count="1407" uniqueCount="568">
  <si>
    <t>Item</t>
  </si>
  <si>
    <t>Description</t>
  </si>
  <si>
    <t>Unit</t>
  </si>
  <si>
    <t>Qty</t>
  </si>
  <si>
    <t>Material
Rate</t>
  </si>
  <si>
    <t>Labour
Rate</t>
  </si>
  <si>
    <t>Total</t>
  </si>
  <si>
    <t>nos</t>
  </si>
  <si>
    <t>kg</t>
  </si>
  <si>
    <t>REINFORCEMENT WORK</t>
  </si>
  <si>
    <t>FORM WORK</t>
  </si>
  <si>
    <t>REINFORCED CONCRETE</t>
  </si>
  <si>
    <t>item</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</si>
  <si>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</si>
  <si>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</si>
  <si>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</si>
  <si>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</si>
  <si>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</si>
  <si>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</si>
  <si>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</si>
  <si>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</si>
  <si>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</si>
  <si>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</si>
  <si>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</si>
  <si>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</si>
  <si>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</si>
  <si>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</si>
  <si>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</si>
  <si>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</si>
  <si>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</si>
  <si>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</si>
  <si>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</si>
  <si>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</si>
  <si>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</si>
  <si>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</si>
  <si>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</si>
  <si>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</si>
  <si>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</si>
  <si>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</si>
  <si>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</si>
  <si>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</si>
  <si>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</si>
  <si>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Back filling</t>
  </si>
  <si>
    <t>2.4.1</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</si>
  <si>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</si>
  <si>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</si>
  <si>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</si>
  <si>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</si>
  <si>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</si>
  <si>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</si>
  <si>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CONCRETE</t>
  </si>
  <si>
    <t xml:space="preserve"> </t>
  </si>
  <si>
    <t>Site clearance</t>
  </si>
  <si>
    <t>Clearing site - Demolition of Existing building and dispatch all debris, clearing and dispose all unwanted materials away from site and prepare site ready for proposed construction.</t>
  </si>
  <si>
    <t>3.1.1</t>
  </si>
  <si>
    <t>LEAN CONCRETE</t>
  </si>
  <si>
    <t>FOUNDATIONS</t>
  </si>
  <si>
    <t>(a)</t>
  </si>
  <si>
    <t>(b)</t>
  </si>
  <si>
    <t>GROUND FLOOR</t>
  </si>
  <si>
    <t>FIRST FLOOR</t>
  </si>
  <si>
    <t>(c)</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</si>
  <si>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</si>
  <si>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</si>
  <si>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</si>
  <si>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</si>
  <si>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</si>
  <si>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</si>
  <si>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</si>
  <si>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</si>
  <si>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</si>
  <si>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</si>
  <si>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</si>
  <si>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</si>
  <si>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</si>
  <si>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</si>
  <si>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</si>
  <si>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</si>
  <si>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</si>
  <si>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</si>
  <si>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</si>
  <si>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</si>
  <si>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</si>
  <si>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</si>
  <si>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</si>
  <si>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</si>
  <si>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</si>
  <si>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</si>
  <si>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</si>
  <si>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</si>
  <si>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</si>
  <si>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</si>
  <si>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BILL No: 04</t>
  </si>
  <si>
    <t>MASONRY AND PLASTERING</t>
  </si>
  <si>
    <t xml:space="preserve"> PLASTERING</t>
  </si>
  <si>
    <t>BILL N0: 05</t>
  </si>
  <si>
    <t>FLOORING &amp; TILING</t>
  </si>
  <si>
    <t>DOORS AND WINDOWS</t>
  </si>
  <si>
    <t>GROUND  FLOOR</t>
  </si>
  <si>
    <t>no</t>
  </si>
  <si>
    <t>TOTAL OF BILL No: 07 - Carried over to summary</t>
  </si>
  <si>
    <t>BILL No: 08</t>
  </si>
  <si>
    <t>(b) Rates shall include for applying approved quality wood preservators as per manufactures instructions for all Timber  structures.</t>
  </si>
  <si>
    <t>TOTAL OF BILL No: 08 - Carried over to summary</t>
  </si>
  <si>
    <t>BILL No: 09</t>
  </si>
  <si>
    <t>TOTAL OF BILL No: 09 - Carried over to summary</t>
  </si>
  <si>
    <t>BILL No: 10</t>
  </si>
  <si>
    <t>RAILING</t>
  </si>
  <si>
    <t>TOTAL OF BILL No: 10 - Carried over to summary</t>
  </si>
  <si>
    <t>BILL No: 11</t>
  </si>
  <si>
    <t>HYDRAULICS &amp; DRAINAGE</t>
  </si>
  <si>
    <t>HYDRAULICS</t>
  </si>
  <si>
    <t>SANITARY FIXTURES &amp;ACCESSORIES</t>
  </si>
  <si>
    <t>TOTAL OF BILL No: 11 - Carried over to summary</t>
  </si>
  <si>
    <t>(a) Exposed surface shall have fair finish while remaining may have rough finish.</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</si>
  <si>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</si>
  <si>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</si>
  <si>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</si>
  <si>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</si>
  <si>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</si>
  <si>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</si>
  <si>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</si>
  <si>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</si>
  <si>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TILING</t>
  </si>
  <si>
    <t>BILL No: 05 -FLOORING AND TILING</t>
  </si>
  <si>
    <t>TOTAL OF BILL No: 05 - Carried over to summary</t>
  </si>
  <si>
    <t>BILL No: 04 - MASONRY AND PLASTERING</t>
  </si>
  <si>
    <t>BILL No: 03 - CONCRETE WORKS</t>
  </si>
  <si>
    <t>(c) Quantity is measured to the edges of concrete foundation members. Rates shall be inclusive for any additional concrete 
required to place the formwork.</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</si>
  <si>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</si>
  <si>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</si>
  <si>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</si>
  <si>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</si>
  <si>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SAFETY</t>
  </si>
  <si>
    <t>WOOD WORK &amp;  CEILING</t>
  </si>
  <si>
    <t>1 )</t>
  </si>
  <si>
    <t>2 )</t>
  </si>
  <si>
    <t>PREPARED BY</t>
  </si>
  <si>
    <t>COLUMNS</t>
  </si>
  <si>
    <t>TOTAL OF BILL No: 03 - Carried over to summary</t>
  </si>
  <si>
    <t>3 )</t>
  </si>
  <si>
    <t>4 )</t>
  </si>
  <si>
    <t>5 )</t>
  </si>
  <si>
    <t>6 )</t>
  </si>
  <si>
    <t>7 )</t>
  </si>
  <si>
    <t>8 )</t>
  </si>
  <si>
    <t>9 )</t>
  </si>
  <si>
    <t>(d) Each Light/ light fixture and its switch is measured as one one point; similarly each fan or each socket outlet is 
measured as one point;</t>
  </si>
  <si>
    <t>BILL No: 11 - ELECTRICAL INSTALLATIONS</t>
  </si>
  <si>
    <t>a )</t>
  </si>
  <si>
    <t>b )</t>
  </si>
  <si>
    <t>d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</si>
  <si>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</si>
  <si>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</si>
  <si>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</si>
  <si>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</si>
  <si>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</si>
  <si>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</si>
  <si>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</si>
  <si>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</si>
  <si>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</si>
  <si>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STAIRCASE</t>
  </si>
  <si>
    <t>TOTAL OF BILL No: 04 - Carried over to summary</t>
  </si>
  <si>
    <t>R.C.C. GROUND FLOOR SLAB</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</si>
  <si>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</si>
  <si>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</si>
  <si>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</si>
  <si>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</si>
  <si>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WATER PROOFING</t>
  </si>
  <si>
    <t>Charges for Piping for  fresh water Pipe work</t>
  </si>
  <si>
    <t>Charges for Piping for Ground water supply pipe work.</t>
  </si>
  <si>
    <t>DRAINAGE</t>
  </si>
  <si>
    <t>GROUND FLOOR SLAB</t>
  </si>
  <si>
    <t>(e) All doors and windows shall be  accordance with  door/window drawing details.</t>
  </si>
  <si>
    <t xml:space="preserve">50mm thick Floor Screeding </t>
  </si>
  <si>
    <r>
      <t>m</t>
    </r>
    <r>
      <rPr>
        <vertAlign val="superscript"/>
        <sz val="10"/>
        <rFont val="Times New Roman"/>
        <family val="1"/>
      </rPr>
      <t>2</t>
    </r>
  </si>
  <si>
    <t>TILE ADHESIVE</t>
  </si>
  <si>
    <t>ELECTRIC BOARDS</t>
  </si>
  <si>
    <t>ELECTRIC FIXTURES</t>
  </si>
  <si>
    <t xml:space="preserve">ELECTRICAL WIRING </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</si>
  <si>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</si>
  <si>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</si>
  <si>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</si>
  <si>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</si>
  <si>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</si>
  <si>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BELOW GROUND</t>
  </si>
  <si>
    <t>16mm dia deformed bars - 6m</t>
  </si>
  <si>
    <t>12mm dia deformed bars - 6m</t>
  </si>
  <si>
    <t>10mm dia deformed bars - 6m</t>
  </si>
  <si>
    <t>FLOOR TILING</t>
  </si>
  <si>
    <t>WALL TILING</t>
  </si>
  <si>
    <t>(a) Rates shall include for: Fixing, bedding, grouting, and pointing materials, making good around pipes, sanitary fixtures, and similar; cleaning &amp; Polishing.</t>
  </si>
  <si>
    <t>(b) All Tiling work in accordance with specifications and finishes schedule.</t>
  </si>
  <si>
    <t>A )</t>
  </si>
  <si>
    <t>B )</t>
  </si>
  <si>
    <t>(c) Rates shall include for 9mm thick Cement board fixed on 35 x 50mm Timber frame,trimming, nails, screws,hooks, hangers,  clips and similar.</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</si>
  <si>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</si>
  <si>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</si>
  <si>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r>
      <t>16mm</t>
    </r>
    <r>
      <rPr>
        <vertAlign val="superscript"/>
        <sz val="9"/>
        <rFont val="Times New Roman"/>
        <family val="1"/>
      </rPr>
      <t>2</t>
    </r>
    <r>
      <rPr>
        <sz val="9"/>
        <rFont val="Times New Roman"/>
        <family val="1"/>
      </rPr>
      <t xml:space="preserve">  Cabling to DBs</t>
    </r>
  </si>
  <si>
    <t>Charges for Providing  and Fixing Heavy duty water pump Davey brand for Ground water supply to all floors - ground water net work.</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</si>
  <si>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</si>
  <si>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</si>
  <si>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</si>
  <si>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</si>
  <si>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</si>
  <si>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</si>
  <si>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</si>
  <si>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WATER PROOFING &amp; ADD MIXTURES</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</si>
  <si>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</si>
  <si>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</si>
  <si>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</si>
  <si>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</si>
  <si>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</si>
  <si>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</si>
  <si>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</si>
  <si>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</si>
  <si>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</si>
  <si>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</si>
  <si>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</si>
  <si>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</si>
  <si>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</si>
  <si>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</si>
  <si>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</si>
  <si>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ROOF BEAMS</t>
  </si>
  <si>
    <t>(c ) Rates shall include for; distribution steel, cleaning,  fabrication, placing, the provision for all necessary temporary fixings, and supports including chairs and tie wire , laps and wastage.</t>
  </si>
  <si>
    <t>R.c.c. Staircase</t>
  </si>
  <si>
    <t>SLAB BEAMS</t>
  </si>
  <si>
    <t>FLOOR SLAB</t>
  </si>
  <si>
    <t>SLAB BEAM</t>
  </si>
  <si>
    <t>20mm dia deformed bars - 6m</t>
  </si>
  <si>
    <t>WINDOW SILL &amp; LINTELS</t>
  </si>
  <si>
    <t xml:space="preserve">Charges for construction of R.c.c. Sills and Lintels for the windows and doors as per details. Rate shall include for shuttering and Reinforcement works complete. </t>
  </si>
  <si>
    <t>Interior walls</t>
  </si>
  <si>
    <t>External walls</t>
  </si>
  <si>
    <t>ABOVE ROOF BEAM</t>
  </si>
  <si>
    <t>External walls 150mm thick</t>
  </si>
  <si>
    <t xml:space="preserve">Internal surface of external wall </t>
  </si>
  <si>
    <t>Corridor</t>
  </si>
  <si>
    <t>Store</t>
  </si>
  <si>
    <t>Staircase</t>
  </si>
  <si>
    <t>ROOFING</t>
  </si>
  <si>
    <t xml:space="preserve">Roof Covering - Supply and Fixing BHP Lysaght Roofing sheet </t>
  </si>
  <si>
    <t>Capping -  Supply and Fixing 600mm wide Lysaght Ridge Capping</t>
  </si>
  <si>
    <t>mtr</t>
  </si>
  <si>
    <t>WOOD WORK</t>
  </si>
  <si>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</si>
  <si>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12</t>
  </si>
  <si>
    <t>BILL No: 12</t>
  </si>
  <si>
    <t>TOTAL OF BILL No: 12 - Carried over to summary</t>
  </si>
  <si>
    <t>DOOR UNITS</t>
  </si>
  <si>
    <t>WASH BASIN COUNTER SLAB</t>
  </si>
  <si>
    <t xml:space="preserve">Charges for Construction and  Installation of 75mm thick R.c.c. Counter slab for washbasin at Toilet block (Ground floor, First floor and Second floor) as per drawing details. Rate shall include for; form work, reinforcement etc complete. </t>
  </si>
  <si>
    <t>13</t>
  </si>
  <si>
    <t>ADDITIONS</t>
  </si>
  <si>
    <t>OMISSIONS</t>
  </si>
  <si>
    <t>Provision  to include quantities as per the drawing which is missed in the bill of quantities.</t>
  </si>
  <si>
    <t>BILL No: 13</t>
  </si>
  <si>
    <t>TOTAL OF BILL No: 13 - Carried over to summary</t>
  </si>
  <si>
    <t>MINISTRY OF EDUCATION</t>
  </si>
  <si>
    <t>REPUBLIC OF MALDIVES</t>
  </si>
  <si>
    <t>CLIENT</t>
  </si>
  <si>
    <t>100mm thick R.C. slab including Entrance Steps</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</si>
  <si>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</si>
  <si>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r>
      <t xml:space="preserve">Add approved water proofing admixture </t>
    </r>
    <r>
      <rPr>
        <b/>
        <sz val="9"/>
        <color theme="1"/>
        <rFont val="Times New Roman"/>
        <family val="1"/>
      </rPr>
      <t>Mega Add WL1</t>
    </r>
    <r>
      <rPr>
        <sz val="9"/>
        <color theme="1"/>
        <rFont val="Times New Roman"/>
        <family val="1"/>
      </rPr>
      <t xml:space="preserve"> as per specification to all concrete below ground level.</t>
    </r>
  </si>
  <si>
    <r>
      <t xml:space="preserve">Add Plasticiser admixture </t>
    </r>
    <r>
      <rPr>
        <b/>
        <sz val="9"/>
        <color theme="1"/>
        <rFont val="Times New Roman"/>
        <family val="1"/>
      </rPr>
      <t>Mega Flow P</t>
    </r>
    <r>
      <rPr>
        <sz val="9"/>
        <color theme="1"/>
        <rFont val="Times New Roman"/>
        <family val="1"/>
      </rPr>
      <t xml:space="preserve"> as per specification to all concrete Substreucture and Super structure.</t>
    </r>
  </si>
  <si>
    <t>Toilets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</si>
  <si>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</si>
  <si>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</si>
  <si>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</si>
  <si>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</si>
  <si>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</si>
  <si>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Eave Ceiling</t>
  </si>
  <si>
    <t>Provision to remove the excess quantity given in the bill quantities if any as per the drawing details</t>
  </si>
  <si>
    <t xml:space="preserve">Toilet </t>
  </si>
  <si>
    <t>(c) All Timber door frames shall be treated timber. Rate shall include for Paint/Varnish finish.</t>
  </si>
  <si>
    <t xml:space="preserve"> TOTAL           Mvr</t>
  </si>
  <si>
    <t>6% GST           Mvr</t>
  </si>
  <si>
    <t>GRAND TOTAL          Mvr</t>
  </si>
  <si>
    <t>GI. Railing  - Staircase</t>
  </si>
  <si>
    <t>GI. Railing  - BALCONY</t>
  </si>
  <si>
    <t>Foundations F1</t>
  </si>
  <si>
    <t>Foundations F2</t>
  </si>
  <si>
    <t>Foundations F3</t>
  </si>
  <si>
    <t>Foundations F4</t>
  </si>
  <si>
    <t>Foundations F5</t>
  </si>
  <si>
    <t>300mm thick highly compacted hard core from Ground floor to below ground floor slab</t>
  </si>
  <si>
    <t>C1</t>
  </si>
  <si>
    <t>C2</t>
  </si>
  <si>
    <t>C3</t>
  </si>
  <si>
    <t>C4</t>
  </si>
  <si>
    <t>B1</t>
  </si>
  <si>
    <t>B2</t>
  </si>
  <si>
    <t>B3</t>
  </si>
  <si>
    <t>WCB</t>
  </si>
  <si>
    <t>6mm dia deformed bars - 6m</t>
  </si>
  <si>
    <t xml:space="preserve">External surface of exeterior wall </t>
  </si>
  <si>
    <t xml:space="preserve">Corridor </t>
  </si>
  <si>
    <t>Toilet (F)</t>
  </si>
  <si>
    <t>Toilet (M)</t>
  </si>
  <si>
    <t>(c) Tiles rate shall be given as specified in the drawing.</t>
  </si>
  <si>
    <t>Charges for supplying special tiles grout for fixing tiles to all floors.</t>
  </si>
  <si>
    <t xml:space="preserve">Supply, Fabrication and Fixing GI.S.Railing -Staircase as per details </t>
  </si>
  <si>
    <t>Roof Truss - Supply, Fabrication and Fixing Roof Trusses complete with  Base plates, Bolts, nuts, Washers etc including  Paint Finishes. Refer drawing details</t>
  </si>
  <si>
    <t>Bidet Shower</t>
  </si>
  <si>
    <t>Water Closet</t>
  </si>
  <si>
    <t>Gate Valve</t>
  </si>
  <si>
    <t>Bottle Trap</t>
  </si>
  <si>
    <t>Floor Gully</t>
  </si>
  <si>
    <t>Ceiling Light (12W)</t>
  </si>
  <si>
    <t>Recessed Ceiling Light (12W)</t>
  </si>
  <si>
    <t>Light Switch (1 Gang )</t>
  </si>
  <si>
    <t>Light Switch (2 Gang )</t>
  </si>
  <si>
    <t>Light Switch (4 Gang )</t>
  </si>
  <si>
    <t>Light Switch (5 Gang )</t>
  </si>
  <si>
    <t>13A Power Socket</t>
  </si>
  <si>
    <t>13A Twin Socket</t>
  </si>
  <si>
    <t>Emergency Light</t>
  </si>
  <si>
    <t>42 inch To 48 inch Ceiling Fan</t>
  </si>
  <si>
    <t>Ceiling Down Light (18W) - Weather Proof</t>
  </si>
  <si>
    <t>3 Ft Led Tube Light</t>
  </si>
  <si>
    <t>2.4.2</t>
  </si>
  <si>
    <t>175mm thick R.c.c. Floor Slab</t>
  </si>
  <si>
    <t>155mm thick R.c.c. Floor Slab</t>
  </si>
  <si>
    <t>RC SHADING SLABS</t>
  </si>
  <si>
    <t>RC SHADING WALLS</t>
  </si>
  <si>
    <t>Cleaner closet</t>
  </si>
  <si>
    <t>Classroom</t>
  </si>
  <si>
    <t>D4</t>
  </si>
  <si>
    <t>W1</t>
  </si>
  <si>
    <t>W2</t>
  </si>
  <si>
    <t>W5</t>
  </si>
  <si>
    <t>D2</t>
  </si>
  <si>
    <t>D1</t>
  </si>
  <si>
    <t>D3</t>
  </si>
  <si>
    <t>External</t>
  </si>
  <si>
    <t>Internal</t>
  </si>
  <si>
    <t xml:space="preserve">TR1 </t>
  </si>
  <si>
    <t>50mm mineral wool insulation
between purlins</t>
  </si>
  <si>
    <t>Ceiling Recessed Spot Light (3W)</t>
  </si>
  <si>
    <t>WOOD WORK &amp; CEILING</t>
  </si>
  <si>
    <t>SRB@Gable Level</t>
  </si>
  <si>
    <t>Tie Beam TB1</t>
  </si>
  <si>
    <t>Toilet (Disabled)</t>
  </si>
  <si>
    <t>Gutter - Supply and Fixing 200 x 200mm Lysaght Gutter complete including brackets and clips.</t>
  </si>
  <si>
    <t>Ceiling Mounted Exhaust Fan</t>
  </si>
  <si>
    <t>Wall Mounted Exhaust Fan</t>
  </si>
  <si>
    <t>15A Switched Socket at High Level</t>
  </si>
  <si>
    <t>Computer Network Twin Outlet</t>
  </si>
  <si>
    <t>Wall Mounted Speaker</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</si>
  <si>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</si>
  <si>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</si>
  <si>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</si>
  <si>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</si>
  <si>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</si>
  <si>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</si>
  <si>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</si>
  <si>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</si>
  <si>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CO2 Extinguisher (load 2kg) In Polycarbonate Enclosure</t>
  </si>
  <si>
    <t>H2O Extinguisher (load 9L) In Polycarbonate Enclosure</t>
  </si>
  <si>
    <t>Manual Call Point</t>
  </si>
  <si>
    <t>Smoke Detector</t>
  </si>
  <si>
    <t>Beacon</t>
  </si>
  <si>
    <t>Sounder Bell</t>
  </si>
  <si>
    <t>Exit Sign</t>
  </si>
  <si>
    <t>Fire Alarm Control Panel</t>
  </si>
  <si>
    <t>BILL No: 12 - FIRE FIGHTING SYSTEM</t>
  </si>
  <si>
    <t>BILL No: 13 - ADDITIONS</t>
  </si>
  <si>
    <t>BILL No: 14</t>
  </si>
  <si>
    <t>BILL No: 14 - OMISSIONS</t>
  </si>
  <si>
    <t>TOTAL OF BILL No: 14 - Carried over to summary</t>
  </si>
  <si>
    <t>14</t>
  </si>
  <si>
    <t>Insurance, Bonds, Guarantees and Warranties</t>
  </si>
  <si>
    <t>Insurance as stated in the General Consditions.</t>
  </si>
  <si>
    <t>As-Built Drawings</t>
  </si>
  <si>
    <t>Preparation and submission of "as-built" Drawings.</t>
  </si>
  <si>
    <t>(f) 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</si>
  <si>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(g) Rate shall include for supply, installation, maintaining, testing and commissioning of the system for power and lighting according to drawings and specifications to working order. </t>
  </si>
  <si>
    <t>(h) All materials, equipment wiring shall confirm to local codes, specifications, standards/latest I.E.E. regulations ( BS 7671 ).</t>
  </si>
  <si>
    <t>e )Heat Resistant cable shall be laid for connecting the detectors.</t>
  </si>
  <si>
    <t>FIRE ALARM / DETECTION SYSTEM</t>
  </si>
  <si>
    <t xml:space="preserve">(a) Excavation quantities are measured to the faces of concrete members. Rates shall include for all additional excavation required to place the formwork , back fill , dewatering and others </t>
  </si>
  <si>
    <t>1.1.0</t>
  </si>
  <si>
    <t>1.2.0</t>
  </si>
  <si>
    <t>1.3.0</t>
  </si>
  <si>
    <t>1.4.0</t>
  </si>
  <si>
    <t>1.5.0</t>
  </si>
  <si>
    <t>1.6.0</t>
  </si>
  <si>
    <t>1.7.0</t>
  </si>
  <si>
    <t>2.1.0</t>
  </si>
  <si>
    <t>2.2.0</t>
  </si>
  <si>
    <t>2.3.0</t>
  </si>
  <si>
    <t>2.4.0</t>
  </si>
  <si>
    <t>2.4.3</t>
  </si>
  <si>
    <t>3.0.0</t>
  </si>
  <si>
    <t>3.2.0</t>
  </si>
  <si>
    <t>3.2.1</t>
  </si>
  <si>
    <t>3.2.2</t>
  </si>
  <si>
    <t>100mm thick R.C.C slab</t>
  </si>
  <si>
    <t xml:space="preserve">50mm thick Cement/sand blinding layer (1:10 - Cement &amp; Local Sand mix) to receive damp proof membrane below ground floor slab, Provide Polythene damp proof membrane (2000 gauge) laid on blinding layer.  </t>
  </si>
  <si>
    <t>3.2.3</t>
  </si>
  <si>
    <t>23 )</t>
  </si>
  <si>
    <t>3.2.4</t>
  </si>
  <si>
    <t>3.3.0</t>
  </si>
  <si>
    <t>3.3.1</t>
  </si>
  <si>
    <t>3.3.2</t>
  </si>
  <si>
    <t>3.3.3</t>
  </si>
  <si>
    <t>3.3.4</t>
  </si>
  <si>
    <t>3.4.0</t>
  </si>
  <si>
    <t>3.4.1</t>
  </si>
  <si>
    <t>3.4.2</t>
  </si>
  <si>
    <t>3.4.3</t>
  </si>
  <si>
    <t>10 )</t>
  </si>
  <si>
    <t>3.4.5</t>
  </si>
  <si>
    <t xml:space="preserve">Charges for Construction and  Installation of 100mm thick R.c.c. Shading slab at 1st ,2nd &amp; Roof Beam levels as per drawing details. Rate shall include for; form work, reinforcement etc complete. </t>
  </si>
  <si>
    <t xml:space="preserve">Charges for Construction and  Installation of 100mm thick R.c.c. Shading walls at Gr,1st &amp; 2nd Floor levels as per drawing details. Rate shall include for; form work, reinforcement etc complete. </t>
  </si>
  <si>
    <t>3.4.6</t>
  </si>
  <si>
    <t>3.4.7</t>
  </si>
  <si>
    <t>4.1.0</t>
  </si>
  <si>
    <t>4.1.1</t>
  </si>
  <si>
    <t>4.2.1</t>
  </si>
  <si>
    <t>4.3.1</t>
  </si>
  <si>
    <t>b)</t>
  </si>
  <si>
    <t>150mm thick Solid block single wall above all Tie beams.</t>
  </si>
  <si>
    <r>
      <t xml:space="preserve">150mm thick Solid block </t>
    </r>
    <r>
      <rPr>
        <b/>
        <sz val="9"/>
        <color theme="1"/>
        <rFont val="Times New Roman"/>
        <family val="1"/>
      </rPr>
      <t>single</t>
    </r>
    <r>
      <rPr>
        <sz val="9"/>
        <color theme="1"/>
        <rFont val="Times New Roman"/>
        <family val="1"/>
      </rPr>
      <t xml:space="preserve"> wall</t>
    </r>
  </si>
  <si>
    <r>
      <t xml:space="preserve">100mm thick Solid block </t>
    </r>
    <r>
      <rPr>
        <b/>
        <sz val="9"/>
        <color theme="1"/>
        <rFont val="Times New Roman"/>
        <family val="1"/>
      </rPr>
      <t>single</t>
    </r>
    <r>
      <rPr>
        <sz val="9"/>
        <color theme="1"/>
        <rFont val="Times New Roman"/>
        <family val="1"/>
      </rPr>
      <t xml:space="preserve"> wall</t>
    </r>
  </si>
  <si>
    <t>4.4.1</t>
  </si>
  <si>
    <t>4.6.1</t>
  </si>
  <si>
    <t>4.6.2</t>
  </si>
  <si>
    <t>2.6.3</t>
  </si>
  <si>
    <t>Both surface of below ground level</t>
  </si>
  <si>
    <t>25mm thick Plastering</t>
  </si>
  <si>
    <r>
      <t xml:space="preserve">(a) 25mm thick Cement plastering on Exterior surface of  External masonry walls and concrete surfaces and 16mm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</si>
  <si>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25mm thick (13+12mm)  2 coats in 1:4 cement and river sand mix ratio </t>
  </si>
  <si>
    <t>2.6.4</t>
  </si>
  <si>
    <t>2.6.5</t>
  </si>
  <si>
    <t>5.1.0</t>
  </si>
  <si>
    <t>5.1.1</t>
  </si>
  <si>
    <t>5.2.1</t>
  </si>
  <si>
    <t>5.3.1</t>
  </si>
  <si>
    <t>5.1.2</t>
  </si>
  <si>
    <t>5.2.2</t>
  </si>
  <si>
    <t>5.2.3</t>
  </si>
  <si>
    <t>Toilet walls @ 2.8m height</t>
  </si>
  <si>
    <t>5.4.1</t>
  </si>
  <si>
    <r>
      <t>Apply 2 coats of Water proofing Compound</t>
    </r>
    <r>
      <rPr>
        <b/>
        <sz val="9"/>
        <rFont val="Times New Roman"/>
        <family val="1"/>
      </rPr>
      <t xml:space="preserve">, </t>
    </r>
    <r>
      <rPr>
        <sz val="9"/>
        <rFont val="Times New Roman"/>
        <family val="1"/>
      </rPr>
      <t>on wet surfaces - Toilets, Balcony.</t>
    </r>
  </si>
  <si>
    <t>W3</t>
  </si>
  <si>
    <t>6.1.0</t>
  </si>
  <si>
    <t>6.2.0</t>
  </si>
  <si>
    <t>6.3.0</t>
  </si>
  <si>
    <t>7.1.0</t>
  </si>
  <si>
    <t>7.2.0</t>
  </si>
  <si>
    <t>Timber Fascia Board: Supply and Fixing  50 x 200mm wide Timber Fascia board complete including Paint finishes.</t>
  </si>
  <si>
    <t>8.1.0</t>
  </si>
  <si>
    <t>8.2.0</t>
  </si>
  <si>
    <t>8.3.0</t>
  </si>
  <si>
    <t>8.5.0</t>
  </si>
  <si>
    <t>9.1.0</t>
  </si>
  <si>
    <t>9.2.1</t>
  </si>
  <si>
    <t>9.4.1</t>
  </si>
  <si>
    <t>9.3.1</t>
  </si>
  <si>
    <t>9.5.1</t>
  </si>
  <si>
    <t>m</t>
  </si>
  <si>
    <t>Supply, Fabrication and Installation of GI.Railing as per details (Refer drawing)</t>
  </si>
  <si>
    <t>11 )</t>
  </si>
  <si>
    <t>12 )</t>
  </si>
  <si>
    <t>13 )</t>
  </si>
  <si>
    <t>14 )</t>
  </si>
  <si>
    <t>Gully Trap</t>
  </si>
  <si>
    <t>Angle Valve with cap for Ground Water</t>
  </si>
  <si>
    <t>Disable grab rail complete set as per manufacturer spec.</t>
  </si>
  <si>
    <t>10.1.0</t>
  </si>
  <si>
    <t>10.2.0</t>
  </si>
  <si>
    <t>10.2.1</t>
  </si>
  <si>
    <t>10.2.2</t>
  </si>
  <si>
    <t>10.2.3</t>
  </si>
  <si>
    <t>10.2.4</t>
  </si>
  <si>
    <r>
      <rPr>
        <b/>
        <u/>
        <sz val="9"/>
        <rFont val="Times New Roman"/>
        <family val="1"/>
      </rPr>
      <t>SEWERAGE &amp; DRAINAGE</t>
    </r>
    <r>
      <rPr>
        <sz val="9"/>
        <rFont val="Times New Roman"/>
        <family val="1"/>
      </rPr>
      <t>: Charges for piping for all discharge pipes, sewerage and drainage pipes including connection to Main Sewer network from the Fixtures.</t>
    </r>
  </si>
  <si>
    <t>10.3.0</t>
  </si>
  <si>
    <t>10.3.1</t>
  </si>
  <si>
    <t>Basin Faucet</t>
  </si>
  <si>
    <t>10.3.2</t>
  </si>
  <si>
    <t>10.3.3</t>
  </si>
  <si>
    <r>
      <rPr>
        <b/>
        <u/>
        <sz val="9"/>
        <rFont val="Times New Roman"/>
        <family val="1"/>
      </rPr>
      <t>SEWERAGE &amp; DRAINAGE</t>
    </r>
    <r>
      <rPr>
        <sz val="9"/>
        <rFont val="Times New Roman"/>
        <family val="1"/>
      </rPr>
      <t>: Charges for piping for all discharge pipes, sewerage and drainage pipes including connection to Main Sewer pipe from the Fixtures.</t>
    </r>
  </si>
  <si>
    <t>10.4.0</t>
  </si>
  <si>
    <t>10.4.1</t>
  </si>
  <si>
    <t>Supply and Installation of Utility Regulatory Authority approved Main Panel Board with kWh Meter</t>
  </si>
  <si>
    <t>Wiring connection to Main Panel Board from Main Electricity network.</t>
  </si>
  <si>
    <t xml:space="preserve">Supply and Installation of Utility Regulation Authority approved brand Distribution board </t>
  </si>
  <si>
    <t>11.1.0</t>
  </si>
  <si>
    <t>11.2.0</t>
  </si>
  <si>
    <t>11.2.1</t>
  </si>
  <si>
    <t>11.2.3</t>
  </si>
  <si>
    <t>15 )</t>
  </si>
  <si>
    <t>16 )</t>
  </si>
  <si>
    <t>17 )</t>
  </si>
  <si>
    <t>18 )</t>
  </si>
  <si>
    <t>19 )</t>
  </si>
  <si>
    <t>20 )</t>
  </si>
  <si>
    <t>21 )</t>
  </si>
  <si>
    <t>11.2.4</t>
  </si>
  <si>
    <t>22 )</t>
  </si>
  <si>
    <t xml:space="preserve">Supply and Installation of Utility Regulatory Authority approved brand Distribution board </t>
  </si>
  <si>
    <t>11.3.0</t>
  </si>
  <si>
    <t>11.3.1</t>
  </si>
  <si>
    <t>11.3.2</t>
  </si>
  <si>
    <t>a)</t>
  </si>
  <si>
    <t>c)</t>
  </si>
  <si>
    <t>13A Twin Socket In Floor Mount Pop-up Box</t>
  </si>
  <si>
    <t>Twin Computer Network Outlet In Floor Mount Pop-up Box</t>
  </si>
  <si>
    <t>12.1.0</t>
  </si>
  <si>
    <t>12.2.0</t>
  </si>
  <si>
    <t>12.3.0</t>
  </si>
  <si>
    <t>12.3.1</t>
  </si>
  <si>
    <t>12.3.2</t>
  </si>
  <si>
    <t>12.4.0</t>
  </si>
  <si>
    <t>12.4.1</t>
  </si>
  <si>
    <t>12.4.2</t>
  </si>
  <si>
    <t>13.1.0</t>
  </si>
  <si>
    <t>14.1.0</t>
  </si>
  <si>
    <t>Cabling - Data Network points (CAT6) Connection from Existing Internet Main connection.</t>
  </si>
  <si>
    <t>Cabling - HDMI</t>
  </si>
  <si>
    <t>Cabling - Connection of Speaker to public address system</t>
  </si>
  <si>
    <t>W4</t>
  </si>
  <si>
    <t>W6</t>
  </si>
  <si>
    <t>Foundations F6</t>
  </si>
  <si>
    <t>RB1 @ Roof beam level 1</t>
  </si>
  <si>
    <t>RB1 @ Roof beam level 2</t>
  </si>
  <si>
    <t>19.375m x 0.575m x 0.1m</t>
  </si>
  <si>
    <t>2.95m x 0.575m x 0.1m</t>
  </si>
  <si>
    <t>7.3.0</t>
  </si>
  <si>
    <t>7.4.1</t>
  </si>
  <si>
    <t>60.3mmØ x 3.2mm pipe fixed on top of SRB</t>
  </si>
  <si>
    <t xml:space="preserve">60.3mmØ x 3.2mm bracing pipe @ Ridge </t>
  </si>
  <si>
    <t>Floor Drain</t>
  </si>
  <si>
    <t>Manhole</t>
  </si>
  <si>
    <t>Wash Basin</t>
  </si>
  <si>
    <t>Sink Tap</t>
  </si>
  <si>
    <t>Internet Switchboard</t>
  </si>
  <si>
    <t>HPS Wall Mounted Light (IP65) (100W)</t>
  </si>
  <si>
    <t>13m x 0.575m x 0.1m</t>
  </si>
  <si>
    <t>AV Room</t>
  </si>
  <si>
    <t>Science Lab</t>
  </si>
  <si>
    <t>Supply and Fixing C - Purlins 50x100x2.5mm C purlins @ 900 C/C (42 meter long)</t>
  </si>
  <si>
    <t>Project : Ha. Uligamu 8 classrooms, Science lab, AV room</t>
  </si>
  <si>
    <t>Project: Ha. Uligamu 8 classrooms, Science lab, AV room</t>
  </si>
  <si>
    <t>Ha. Uligamu 8 classrooms, Science lab, AV room</t>
  </si>
  <si>
    <t>Rodding Eye</t>
  </si>
  <si>
    <t>(c) Rates shall include for electrical conduits, fittings, equipment and similar all fixings to various building surfaces and also all elecetrical work  shall be carried out according to the Utility Regulation Authority standards and specifications.</t>
  </si>
  <si>
    <t>13A Power Socket in Weatherproof Polycarbonate Enclosure</t>
  </si>
  <si>
    <t>HDMI</t>
  </si>
  <si>
    <t>PREAMBLE TO BILL OF QUANTITY</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</si>
  <si>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</si>
  <si>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</si>
  <si>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</si>
  <si>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</si>
  <si>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</si>
  <si>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</si>
  <si>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</si>
  <si>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</si>
  <si>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</si>
  <si>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</si>
  <si>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</si>
  <si>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</si>
  <si>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</si>
  <si>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</si>
  <si>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</si>
  <si>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</si>
  <si>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Note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</si>
</sst>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_);_(* \(#,##0.00\);_(* &quot;-&quot;??_);_(@_)"/>
    <numFmt numFmtId="165" formatCode="_(* #,##0.0_);_(* \(#,##0.0\);_(* &quot;-&quot;??_);_(@_)"/>
    <numFmt numFmtId="166" formatCode="_(* #,##0.000_);_(* \(#,##0.000\);_(* &quot;-&quot;???_);_(@_)"/>
  </numFmts>
  <fonts count="34"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rgb="FFFF0000"/>
      <name val="Times New Roman"/>
      <family val="1"/>
    </font>
    <font>
      <b/>
      <sz val="9"/>
      <color indexed="9"/>
      <name val="Times New Roman"/>
      <family val="1"/>
    </font>
    <font>
      <b/>
      <u/>
      <sz val="10"/>
      <name val="Times New Roman"/>
      <family val="1"/>
    </font>
    <font>
      <vertAlign val="superscript"/>
      <sz val="10"/>
      <name val="Times New Roman"/>
      <family val="1"/>
    </font>
    <font>
      <b/>
      <sz val="10"/>
      <name val="Times New Roman"/>
      <family val="1"/>
    </font>
    <font>
      <u/>
      <sz val="1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9"/>
      <color rgb="FFFF0000"/>
      <name val="Times New Roman"/>
      <family val="1"/>
    </font>
    <font>
      <sz val="10"/>
      <name val="Calibri"/>
      <family val="2"/>
      <scheme val="minor"/>
    </font>
    <font>
      <sz val="20"/>
      <color theme="1"/>
      <name val="Arial Black"/>
      <family val="2"/>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s>
  <borders count="58">
    <border>
      <left/>
      <right/>
      <top/>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style="medium">
        <color auto="1"/>
      </left>
      <right style="hair">
        <color auto="1"/>
      </right>
      <top style="medium">
        <color auto="1"/>
      </top>
      <bottom/>
      <diagonal/>
    </border>
    <border>
      <left style="medium">
        <color auto="1"/>
      </left>
      <right style="hair">
        <color auto="1"/>
      </right>
      <top/>
      <bottom style="medium">
        <color auto="1"/>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right style="medium">
        <color auto="1"/>
      </right>
      <top/>
      <bottom style="medium">
        <color auto="1"/>
      </bottom>
      <diagonal/>
    </border>
    <border>
      <left style="hair">
        <color auto="1"/>
      </left>
      <right style="medium">
        <color auto="1"/>
      </right>
      <top/>
      <bottom style="medium">
        <color auto="1"/>
      </bottom>
      <diagonal/>
    </border>
    <border>
      <left/>
      <right style="medium">
        <color auto="1"/>
      </right>
      <top style="medium">
        <color auto="1"/>
      </top>
      <bottom/>
      <diagonal/>
    </border>
    <border>
      <left style="hair">
        <color auto="1"/>
      </left>
      <right style="medium">
        <color auto="1"/>
      </right>
      <top style="medium">
        <color auto="1"/>
      </top>
      <bottom/>
      <diagonal/>
    </border>
    <border>
      <left style="hair">
        <color auto="1"/>
      </left>
      <right/>
      <top style="medium">
        <color auto="1"/>
      </top>
      <bottom/>
      <diagonal/>
    </border>
    <border>
      <left style="hair">
        <color auto="1"/>
      </left>
      <right/>
      <top/>
      <bottom style="medium">
        <color auto="1"/>
      </bottom>
      <diagonal/>
    </border>
    <border>
      <left style="double">
        <color indexed="64"/>
      </left>
      <right style="thin">
        <color indexed="64"/>
      </right>
      <top/>
      <bottom style="dashed">
        <color indexed="64"/>
      </bottom>
      <diagonal/>
    </border>
    <border>
      <left style="thin">
        <color indexed="64"/>
      </left>
      <right/>
      <top/>
      <bottom style="dashed">
        <color indexed="64"/>
      </bottom>
      <diagonal/>
    </border>
    <border>
      <left style="thin">
        <color indexed="64"/>
      </left>
      <right style="double">
        <color indexed="64"/>
      </right>
      <top/>
      <bottom style="dashed">
        <color indexed="64"/>
      </bottom>
      <diagonal/>
    </border>
    <border>
      <left style="double">
        <color indexed="64"/>
      </left>
      <right style="thin">
        <color indexed="64"/>
      </right>
      <top style="double">
        <color indexed="64"/>
      </top>
      <bottom style="dotted">
        <color indexed="64"/>
      </bottom>
      <diagonal/>
    </border>
    <border>
      <left style="thin">
        <color indexed="64"/>
      </left>
      <right/>
      <top style="double">
        <color indexed="64"/>
      </top>
      <bottom style="dotted">
        <color indexed="64"/>
      </bottom>
      <diagonal/>
    </border>
    <border>
      <left style="thin">
        <color indexed="64"/>
      </left>
      <right style="double">
        <color indexed="64"/>
      </right>
      <top style="double">
        <color indexed="64"/>
      </top>
      <bottom style="dotted">
        <color indexed="64"/>
      </bottom>
      <diagonal/>
    </border>
  </borders>
  <cellStyleXfs count="4">
    <xf numFmtId="0" fontId="0" fillId="0" borderId="0"/>
    <xf numFmtId="164" fontId="1" fillId="0" borderId="0" applyFont="0" applyFill="0" applyBorder="0" applyAlignment="0" applyProtection="0"/>
    <xf numFmtId="164" fontId="2" fillId="0" borderId="0" applyFont="0" applyFill="0" applyBorder="0" applyAlignment="0" applyProtection="0"/>
    <xf numFmtId="0" fontId="2" fillId="0" borderId="0"/>
  </cellStyleXfs>
  <cellXfs count="355">
    <xf numFmtId="0" fontId="0" fillId="0" borderId="0" xfId="0"/>
    <xf numFmtId="49" fontId="3" fillId="2" borderId="6" xfId="0" applyNumberFormat="1" applyFont="1" applyFill="1" applyBorder="1"/>
    <xf numFmtId="0" fontId="3" fillId="2" borderId="6" xfId="0" applyFont="1" applyFill="1" applyBorder="1"/>
    <xf numFmtId="164" fontId="3" fillId="2" borderId="6" xfId="1" applyFont="1" applyFill="1" applyBorder="1"/>
    <xf numFmtId="49" fontId="6" fillId="2" borderId="7" xfId="0" applyNumberFormat="1" applyFont="1" applyFill="1" applyBorder="1"/>
    <xf numFmtId="0" fontId="6" fillId="2" borderId="8" xfId="0" applyFont="1" applyFill="1" applyBorder="1" applyAlignment="1">
      <alignment horizontal="center"/>
    </xf>
    <xf numFmtId="0" fontId="6" fillId="2" borderId="9" xfId="0" applyFont="1" applyFill="1" applyBorder="1" applyAlignment="1">
      <alignment horizontal="center"/>
    </xf>
    <xf numFmtId="49" fontId="7" fillId="2" borderId="10" xfId="0" applyNumberFormat="1" applyFont="1" applyFill="1" applyBorder="1" applyAlignment="1">
      <alignment horizontal="center"/>
    </xf>
    <xf numFmtId="0" fontId="7" fillId="2" borderId="11" xfId="0" applyFont="1" applyFill="1" applyBorder="1" applyAlignment="1">
      <alignment horizontal="left"/>
    </xf>
    <xf numFmtId="164" fontId="7" fillId="2" borderId="12" xfId="1" applyFont="1" applyFill="1" applyBorder="1" applyAlignment="1">
      <alignment horizontal="center"/>
    </xf>
    <xf numFmtId="49" fontId="8" fillId="2" borderId="13" xfId="0" applyNumberFormat="1" applyFont="1" applyFill="1" applyBorder="1"/>
    <xf numFmtId="0" fontId="8" fillId="2" borderId="14" xfId="0" applyFont="1" applyFill="1" applyBorder="1"/>
    <xf numFmtId="0" fontId="9" fillId="2" borderId="15" xfId="0" applyFont="1" applyFill="1" applyBorder="1" applyAlignment="1">
      <alignment horizontal="center"/>
    </xf>
    <xf numFmtId="0" fontId="10" fillId="0" borderId="0" xfId="0" applyFont="1"/>
    <xf numFmtId="0" fontId="10" fillId="0" borderId="0" xfId="0" applyFont="1" applyAlignment="1">
      <alignment horizontal="center"/>
    </xf>
    <xf numFmtId="164" fontId="10" fillId="0" borderId="0" xfId="1" applyNumberFormat="1" applyFont="1"/>
    <xf numFmtId="0" fontId="10" fillId="0" borderId="0" xfId="0" applyFont="1" applyAlignment="1">
      <alignment horizontal="center" vertical="center"/>
    </xf>
    <xf numFmtId="164" fontId="11" fillId="3" borderId="1" xfId="1" applyNumberFormat="1" applyFont="1" applyFill="1" applyBorder="1" applyAlignment="1">
      <alignment horizontal="center"/>
    </xf>
    <xf numFmtId="164" fontId="10" fillId="0" borderId="0" xfId="0" applyNumberFormat="1" applyFont="1" applyAlignment="1">
      <alignment horizontal="center" vertical="center"/>
    </xf>
    <xf numFmtId="0" fontId="10" fillId="0" borderId="1" xfId="0" applyFont="1" applyBorder="1" applyAlignment="1">
      <alignment horizontal="center"/>
    </xf>
    <xf numFmtId="164" fontId="10" fillId="0" borderId="1" xfId="1" applyNumberFormat="1" applyFont="1" applyBorder="1"/>
    <xf numFmtId="164" fontId="10" fillId="0" borderId="1" xfId="1" applyFont="1" applyBorder="1"/>
    <xf numFmtId="164" fontId="10" fillId="0" borderId="2" xfId="1" applyFont="1" applyBorder="1"/>
    <xf numFmtId="164" fontId="10" fillId="0" borderId="0" xfId="0" applyNumberFormat="1" applyFont="1"/>
    <xf numFmtId="0" fontId="16" fillId="0" borderId="0" xfId="0" applyFont="1"/>
    <xf numFmtId="0" fontId="10" fillId="0" borderId="1" xfId="0" applyFont="1" applyBorder="1"/>
    <xf numFmtId="166" fontId="10" fillId="0" borderId="0" xfId="0" applyNumberFormat="1" applyFont="1"/>
    <xf numFmtId="0" fontId="10" fillId="0" borderId="0" xfId="0" applyFont="1" applyAlignment="1">
      <alignment vertical="top"/>
    </xf>
    <xf numFmtId="165" fontId="10" fillId="0" borderId="1" xfId="1" applyNumberFormat="1" applyFont="1" applyBorder="1"/>
    <xf numFmtId="0" fontId="10" fillId="3" borderId="0" xfId="0" applyFont="1" applyFill="1"/>
    <xf numFmtId="0" fontId="10" fillId="0" borderId="4" xfId="0" applyFont="1" applyBorder="1" applyAlignment="1">
      <alignment horizontal="center" vertical="center"/>
    </xf>
    <xf numFmtId="164" fontId="10" fillId="0" borderId="4" xfId="0" applyNumberFormat="1" applyFont="1" applyBorder="1" applyAlignment="1">
      <alignment horizontal="center" vertical="center"/>
    </xf>
    <xf numFmtId="0" fontId="17" fillId="5" borderId="1" xfId="0" applyFont="1" applyFill="1" applyBorder="1"/>
    <xf numFmtId="164" fontId="16" fillId="5" borderId="1" xfId="1" applyNumberFormat="1" applyFont="1" applyFill="1" applyBorder="1"/>
    <xf numFmtId="0" fontId="0" fillId="0" borderId="0" xfId="0" applyAlignment="1">
      <alignment vertical="center"/>
    </xf>
    <xf numFmtId="164" fontId="16" fillId="0" borderId="1" xfId="1" applyNumberFormat="1" applyFont="1" applyBorder="1"/>
    <xf numFmtId="0" fontId="16" fillId="0" borderId="0" xfId="0" applyFont="1" applyAlignment="1">
      <alignment horizontal="center" vertical="center"/>
    </xf>
    <xf numFmtId="0" fontId="20" fillId="0" borderId="0" xfId="0" applyFont="1" applyAlignment="1">
      <alignment horizontal="center" vertical="center"/>
    </xf>
    <xf numFmtId="43" fontId="10" fillId="0" borderId="0" xfId="0" applyNumberFormat="1" applyFont="1"/>
    <xf numFmtId="0" fontId="10" fillId="0" borderId="0" xfId="0" applyFont="1" applyAlignment="1"/>
    <xf numFmtId="43" fontId="0" fillId="0" borderId="0" xfId="0" applyNumberFormat="1"/>
    <xf numFmtId="0" fontId="0" fillId="0" borderId="2" xfId="0" applyBorder="1" applyAlignment="1"/>
    <xf numFmtId="0" fontId="10" fillId="0" borderId="0" xfId="0" applyFont="1" applyAlignment="1">
      <alignment horizontal="center" vertical="top"/>
    </xf>
    <xf numFmtId="43" fontId="10" fillId="0" borderId="0" xfId="0" applyNumberFormat="1" applyFont="1" applyAlignment="1">
      <alignment horizontal="center" vertical="center"/>
    </xf>
    <xf numFmtId="164" fontId="10" fillId="0" borderId="0" xfId="0" applyNumberFormat="1" applyFont="1" applyAlignment="1"/>
    <xf numFmtId="0" fontId="11" fillId="2" borderId="1" xfId="2" applyNumberFormat="1" applyFont="1" applyFill="1" applyBorder="1" applyAlignment="1">
      <alignment horizontal="left" wrapText="1"/>
    </xf>
    <xf numFmtId="43" fontId="10" fillId="0" borderId="0" xfId="0" applyNumberFormat="1" applyFont="1" applyAlignment="1"/>
    <xf numFmtId="164" fontId="10" fillId="0" borderId="0" xfId="1" applyNumberFormat="1" applyFont="1" applyBorder="1"/>
    <xf numFmtId="0" fontId="27" fillId="0" borderId="0" xfId="0" applyFont="1"/>
    <xf numFmtId="0" fontId="30" fillId="0" borderId="0" xfId="0" applyFont="1" applyAlignment="1">
      <alignment horizontal="center"/>
    </xf>
    <xf numFmtId="0" fontId="12" fillId="2" borderId="4" xfId="2" applyNumberFormat="1" applyFont="1" applyFill="1" applyBorder="1" applyAlignment="1">
      <alignment horizontal="center" vertical="top"/>
    </xf>
    <xf numFmtId="164" fontId="11" fillId="2" borderId="4" xfId="2" applyFont="1" applyFill="1" applyBorder="1" applyAlignment="1">
      <alignment horizontal="center"/>
    </xf>
    <xf numFmtId="164" fontId="11" fillId="3" borderId="4" xfId="1" applyNumberFormat="1" applyFont="1" applyFill="1" applyBorder="1" applyAlignment="1">
      <alignment horizontal="center"/>
    </xf>
    <xf numFmtId="0" fontId="11" fillId="2" borderId="4" xfId="2" quotePrefix="1" applyNumberFormat="1" applyFont="1" applyFill="1" applyBorder="1" applyAlignment="1">
      <alignment vertical="top" wrapText="1"/>
    </xf>
    <xf numFmtId="0" fontId="11" fillId="2" borderId="4" xfId="2" quotePrefix="1" applyNumberFormat="1" applyFont="1" applyFill="1" applyBorder="1" applyAlignment="1">
      <alignment vertical="top"/>
    </xf>
    <xf numFmtId="0" fontId="11" fillId="2" borderId="17" xfId="2" quotePrefix="1" applyNumberFormat="1" applyFont="1" applyFill="1" applyBorder="1" applyAlignment="1">
      <alignment vertical="top" wrapText="1"/>
    </xf>
    <xf numFmtId="0" fontId="12" fillId="2" borderId="4" xfId="2" applyNumberFormat="1" applyFont="1" applyFill="1" applyBorder="1" applyAlignment="1">
      <alignment horizontal="justify" vertical="top"/>
    </xf>
    <xf numFmtId="164" fontId="11" fillId="2" borderId="4" xfId="2" applyFont="1" applyFill="1" applyBorder="1" applyAlignment="1">
      <alignment horizontal="center" vertical="top"/>
    </xf>
    <xf numFmtId="164" fontId="11" fillId="3" borderId="4" xfId="1" applyNumberFormat="1" applyFont="1" applyFill="1" applyBorder="1" applyAlignment="1">
      <alignment horizontal="center" vertical="top"/>
    </xf>
    <xf numFmtId="0" fontId="11" fillId="2" borderId="4" xfId="2" applyNumberFormat="1" applyFont="1" applyFill="1" applyBorder="1" applyAlignment="1">
      <alignment horizontal="left" vertical="top" wrapText="1"/>
    </xf>
    <xf numFmtId="0" fontId="10" fillId="0" borderId="4" xfId="0" applyFont="1" applyBorder="1" applyAlignment="1">
      <alignment wrapText="1"/>
    </xf>
    <xf numFmtId="0" fontId="10" fillId="0" borderId="4" xfId="0" applyFont="1" applyBorder="1" applyAlignment="1">
      <alignment horizontal="center"/>
    </xf>
    <xf numFmtId="164" fontId="10" fillId="0" borderId="4" xfId="1" applyNumberFormat="1" applyFont="1" applyBorder="1"/>
    <xf numFmtId="0" fontId="17" fillId="0" borderId="4" xfId="0" applyFont="1" applyBorder="1" applyAlignment="1">
      <alignment wrapText="1"/>
    </xf>
    <xf numFmtId="0" fontId="16" fillId="0" borderId="4" xfId="0" applyFont="1" applyBorder="1" applyAlignment="1">
      <alignment horizontal="center"/>
    </xf>
    <xf numFmtId="164" fontId="16" fillId="0" borderId="4" xfId="1" applyNumberFormat="1" applyFont="1" applyBorder="1"/>
    <xf numFmtId="0" fontId="11" fillId="2" borderId="4" xfId="2" applyNumberFormat="1" applyFont="1" applyFill="1" applyBorder="1" applyAlignment="1">
      <alignment vertical="top" wrapText="1"/>
    </xf>
    <xf numFmtId="0" fontId="12" fillId="2" borderId="4" xfId="2" applyNumberFormat="1" applyFont="1" applyFill="1" applyBorder="1" applyAlignment="1">
      <alignment horizontal="center"/>
    </xf>
    <xf numFmtId="164" fontId="13" fillId="2" borderId="4" xfId="2" applyFont="1" applyFill="1" applyBorder="1" applyAlignment="1">
      <alignment horizontal="center"/>
    </xf>
    <xf numFmtId="164" fontId="13" fillId="3" borderId="4" xfId="1" applyNumberFormat="1" applyFont="1" applyFill="1" applyBorder="1" applyAlignment="1">
      <alignment horizontal="center"/>
    </xf>
    <xf numFmtId="0" fontId="12" fillId="2" borderId="4" xfId="2" applyNumberFormat="1" applyFont="1" applyFill="1" applyBorder="1" applyAlignment="1">
      <alignment horizontal="left"/>
    </xf>
    <xf numFmtId="0" fontId="11" fillId="2" borderId="4" xfId="2" quotePrefix="1" applyNumberFormat="1" applyFont="1" applyFill="1" applyBorder="1" applyAlignment="1">
      <alignment wrapText="1"/>
    </xf>
    <xf numFmtId="0" fontId="11" fillId="2" borderId="4" xfId="2" quotePrefix="1" applyNumberFormat="1" applyFont="1" applyFill="1" applyBorder="1" applyAlignment="1"/>
    <xf numFmtId="0" fontId="12" fillId="2" borderId="4" xfId="2" applyNumberFormat="1" applyFont="1" applyFill="1" applyBorder="1" applyAlignment="1">
      <alignment horizontal="justify"/>
    </xf>
    <xf numFmtId="0" fontId="11" fillId="2" borderId="4" xfId="2" applyNumberFormat="1" applyFont="1" applyFill="1" applyBorder="1" applyAlignment="1">
      <alignment horizontal="justify"/>
    </xf>
    <xf numFmtId="164" fontId="11" fillId="3" borderId="4" xfId="2" applyNumberFormat="1" applyFont="1" applyFill="1" applyBorder="1" applyAlignment="1">
      <alignment horizontal="center"/>
    </xf>
    <xf numFmtId="164" fontId="12" fillId="2" borderId="4" xfId="2" applyFont="1" applyFill="1" applyBorder="1" applyAlignment="1">
      <alignment horizontal="justify" vertical="top"/>
    </xf>
    <xf numFmtId="164" fontId="11" fillId="3" borderId="4" xfId="1" applyNumberFormat="1" applyFont="1" applyFill="1" applyBorder="1" applyAlignment="1">
      <alignment horizontal="right"/>
    </xf>
    <xf numFmtId="164" fontId="11" fillId="2" borderId="4" xfId="2" applyFont="1" applyFill="1" applyBorder="1" applyAlignment="1">
      <alignment horizontal="justify" vertical="top"/>
    </xf>
    <xf numFmtId="0" fontId="11" fillId="2" borderId="4" xfId="2" applyNumberFormat="1" applyFont="1" applyFill="1" applyBorder="1" applyAlignment="1">
      <alignment horizontal="justify" vertical="top" wrapText="1"/>
    </xf>
    <xf numFmtId="0" fontId="11" fillId="2" borderId="3" xfId="2" quotePrefix="1" applyNumberFormat="1" applyFont="1" applyFill="1" applyBorder="1" applyAlignment="1">
      <alignment vertical="justify"/>
    </xf>
    <xf numFmtId="0" fontId="11" fillId="2" borderId="4" xfId="2" quotePrefix="1" applyNumberFormat="1" applyFont="1" applyFill="1" applyBorder="1" applyAlignment="1">
      <alignment vertical="justify"/>
    </xf>
    <xf numFmtId="0" fontId="14" fillId="2" borderId="4" xfId="2" quotePrefix="1" applyNumberFormat="1" applyFont="1" applyFill="1" applyBorder="1" applyAlignment="1">
      <alignment horizontal="left" vertical="top"/>
    </xf>
    <xf numFmtId="0" fontId="11" fillId="2" borderId="4" xfId="2" applyNumberFormat="1" applyFont="1" applyFill="1" applyBorder="1" applyAlignment="1">
      <alignment horizontal="left" wrapText="1"/>
    </xf>
    <xf numFmtId="0" fontId="12" fillId="2" borderId="4" xfId="2" applyNumberFormat="1" applyFont="1" applyFill="1" applyBorder="1" applyAlignment="1">
      <alignment horizontal="left" vertical="top" wrapText="1"/>
    </xf>
    <xf numFmtId="0" fontId="11" fillId="2" borderId="4" xfId="2" applyNumberFormat="1" applyFont="1" applyFill="1" applyBorder="1" applyAlignment="1">
      <alignment vertical="top"/>
    </xf>
    <xf numFmtId="0" fontId="11" fillId="2" borderId="4" xfId="2" applyNumberFormat="1" applyFont="1" applyFill="1" applyBorder="1" applyAlignment="1">
      <alignment horizontal="justify" vertical="top"/>
    </xf>
    <xf numFmtId="0" fontId="11" fillId="2" borderId="4" xfId="2" quotePrefix="1" applyNumberFormat="1" applyFont="1" applyFill="1" applyBorder="1" applyAlignment="1">
      <alignment horizontal="justify" vertical="top"/>
    </xf>
    <xf numFmtId="0" fontId="10" fillId="0" borderId="0" xfId="0" applyFont="1" applyBorder="1"/>
    <xf numFmtId="0" fontId="11" fillId="2" borderId="4" xfId="2" applyNumberFormat="1" applyFont="1" applyFill="1" applyBorder="1" applyAlignment="1">
      <alignment wrapText="1"/>
    </xf>
    <xf numFmtId="49" fontId="11" fillId="2" borderId="4" xfId="2" applyNumberFormat="1" applyFont="1" applyFill="1" applyBorder="1" applyAlignment="1">
      <alignment horizontal="center"/>
    </xf>
    <xf numFmtId="0" fontId="17" fillId="3" borderId="4" xfId="0" applyFont="1" applyFill="1" applyBorder="1" applyAlignment="1">
      <alignment wrapText="1"/>
    </xf>
    <xf numFmtId="0" fontId="16" fillId="3" borderId="4" xfId="0" applyFont="1" applyFill="1" applyBorder="1" applyAlignment="1">
      <alignment horizontal="center"/>
    </xf>
    <xf numFmtId="164" fontId="16" fillId="3" borderId="4" xfId="1" applyNumberFormat="1" applyFont="1" applyFill="1" applyBorder="1"/>
    <xf numFmtId="0" fontId="10" fillId="3" borderId="4" xfId="0" applyFont="1" applyFill="1" applyBorder="1" applyAlignment="1">
      <alignment horizontal="center"/>
    </xf>
    <xf numFmtId="0" fontId="11" fillId="3" borderId="4" xfId="3" applyFont="1" applyFill="1" applyBorder="1" applyAlignment="1">
      <alignment horizontal="left" wrapText="1"/>
    </xf>
    <xf numFmtId="164" fontId="11" fillId="3" borderId="4" xfId="1" applyFont="1" applyFill="1" applyBorder="1" applyAlignment="1">
      <alignment horizontal="center"/>
    </xf>
    <xf numFmtId="0" fontId="16" fillId="0" borderId="4" xfId="0" applyFont="1" applyBorder="1" applyAlignment="1">
      <alignment wrapText="1"/>
    </xf>
    <xf numFmtId="0" fontId="12" fillId="2" borderId="4" xfId="2" quotePrefix="1" applyNumberFormat="1" applyFont="1" applyFill="1" applyBorder="1" applyAlignment="1">
      <alignment horizontal="center"/>
    </xf>
    <xf numFmtId="0" fontId="11" fillId="2" borderId="4" xfId="2" applyNumberFormat="1" applyFont="1" applyFill="1" applyBorder="1" applyAlignment="1"/>
    <xf numFmtId="0" fontId="11" fillId="2" borderId="4" xfId="2" applyNumberFormat="1" applyFont="1" applyFill="1" applyBorder="1" applyAlignment="1">
      <alignment horizontal="left"/>
    </xf>
    <xf numFmtId="0" fontId="11" fillId="0" borderId="4" xfId="3" applyFont="1" applyBorder="1" applyAlignment="1">
      <alignment horizontal="left" wrapText="1"/>
    </xf>
    <xf numFmtId="0" fontId="11" fillId="0" borderId="4" xfId="3" applyFont="1" applyFill="1" applyBorder="1" applyAlignment="1">
      <alignment horizontal="center"/>
    </xf>
    <xf numFmtId="164" fontId="13" fillId="3" borderId="4" xfId="2" applyFont="1" applyFill="1" applyBorder="1" applyAlignment="1">
      <alignment horizontal="center"/>
    </xf>
    <xf numFmtId="0" fontId="12" fillId="3" borderId="4" xfId="2" applyNumberFormat="1" applyFont="1" applyFill="1" applyBorder="1" applyAlignment="1">
      <alignment horizontal="center"/>
    </xf>
    <xf numFmtId="0" fontId="22" fillId="3" borderId="4" xfId="0" applyFont="1" applyFill="1" applyBorder="1" applyAlignment="1">
      <alignment vertical="center" wrapText="1"/>
    </xf>
    <xf numFmtId="0" fontId="3" fillId="3" borderId="4" xfId="0" applyFont="1" applyFill="1" applyBorder="1" applyAlignment="1">
      <alignment horizontal="center" vertical="center"/>
    </xf>
    <xf numFmtId="164" fontId="3" fillId="3" borderId="4" xfId="0" applyNumberFormat="1" applyFont="1" applyFill="1" applyBorder="1" applyAlignment="1">
      <alignment horizontal="center" vertical="center"/>
    </xf>
    <xf numFmtId="0" fontId="3" fillId="3" borderId="4" xfId="0" applyFont="1" applyFill="1" applyBorder="1" applyAlignment="1">
      <alignment vertical="center" wrapText="1"/>
    </xf>
    <xf numFmtId="0" fontId="25" fillId="3" borderId="4" xfId="0" applyFont="1" applyFill="1" applyBorder="1" applyAlignment="1">
      <alignment vertical="center" wrapText="1"/>
    </xf>
    <xf numFmtId="0" fontId="11" fillId="3" borderId="4" xfId="2" applyNumberFormat="1" applyFont="1" applyFill="1" applyBorder="1" applyAlignment="1">
      <alignment horizontal="left" wrapText="1"/>
    </xf>
    <xf numFmtId="164" fontId="11" fillId="3" borderId="4" xfId="2" applyFont="1" applyFill="1" applyBorder="1" applyAlignment="1">
      <alignment horizontal="center"/>
    </xf>
    <xf numFmtId="0" fontId="12" fillId="2" borderId="4" xfId="2" applyNumberFormat="1" applyFont="1" applyFill="1" applyBorder="1"/>
    <xf numFmtId="0" fontId="17" fillId="0" borderId="4" xfId="0" applyFont="1" applyBorder="1"/>
    <xf numFmtId="0" fontId="16" fillId="0" borderId="4" xfId="0" applyFont="1" applyBorder="1"/>
    <xf numFmtId="0" fontId="10" fillId="0" borderId="4" xfId="0" applyFont="1" applyBorder="1"/>
    <xf numFmtId="0" fontId="13" fillId="2" borderId="4" xfId="2" quotePrefix="1" applyNumberFormat="1" applyFont="1" applyFill="1" applyBorder="1" applyAlignment="1">
      <alignment horizontal="left"/>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3" borderId="4" xfId="2" applyNumberFormat="1" applyFont="1" applyFill="1" applyBorder="1" applyAlignment="1">
      <alignment horizontal="justify"/>
    </xf>
    <xf numFmtId="0" fontId="11" fillId="3" borderId="4" xfId="3" applyFont="1" applyFill="1" applyBorder="1" applyAlignment="1">
      <alignment horizontal="center"/>
    </xf>
    <xf numFmtId="0" fontId="11" fillId="2" borderId="4" xfId="3" applyFont="1" applyFill="1" applyBorder="1" applyAlignment="1">
      <alignment horizontal="left" wrapText="1"/>
    </xf>
    <xf numFmtId="0" fontId="11" fillId="0" borderId="4" xfId="3" applyFont="1" applyBorder="1" applyAlignment="1">
      <alignment horizontal="center"/>
    </xf>
    <xf numFmtId="0" fontId="12" fillId="0" borderId="4" xfId="3" applyFont="1" applyFill="1" applyBorder="1" applyAlignment="1">
      <alignment horizontal="left" wrapText="1"/>
    </xf>
    <xf numFmtId="0" fontId="21" fillId="0" borderId="4" xfId="3" applyFont="1" applyFill="1" applyBorder="1" applyAlignment="1">
      <alignment horizontal="center"/>
    </xf>
    <xf numFmtId="164" fontId="21" fillId="3" borderId="4" xfId="1" applyNumberFormat="1" applyFont="1" applyFill="1" applyBorder="1" applyAlignment="1">
      <alignment horizontal="center"/>
    </xf>
    <xf numFmtId="49" fontId="11" fillId="3" borderId="3" xfId="1" applyNumberFormat="1" applyFont="1" applyFill="1" applyBorder="1" applyAlignment="1">
      <alignment horizontal="left" vertical="justify"/>
    </xf>
    <xf numFmtId="49" fontId="11" fillId="2" borderId="3" xfId="2" applyNumberFormat="1" applyFont="1" applyFill="1" applyBorder="1" applyAlignment="1">
      <alignment horizontal="left" vertical="justify"/>
    </xf>
    <xf numFmtId="49" fontId="11" fillId="2" borderId="3" xfId="2" applyNumberFormat="1" applyFont="1" applyFill="1" applyBorder="1" applyAlignment="1">
      <alignment horizontal="left"/>
    </xf>
    <xf numFmtId="0" fontId="22" fillId="3" borderId="4" xfId="0" applyFont="1" applyFill="1" applyBorder="1" applyAlignment="1">
      <alignment vertical="justify" wrapText="1"/>
    </xf>
    <xf numFmtId="0" fontId="3" fillId="3" borderId="4" xfId="0" applyFont="1" applyFill="1" applyBorder="1" applyAlignment="1">
      <alignment wrapText="1"/>
    </xf>
    <xf numFmtId="0" fontId="3" fillId="3" borderId="4" xfId="0" applyFont="1" applyFill="1" applyBorder="1" applyAlignment="1">
      <alignment horizontal="center"/>
    </xf>
    <xf numFmtId="164" fontId="3" fillId="3" borderId="4" xfId="0" applyNumberFormat="1" applyFont="1" applyFill="1" applyBorder="1" applyAlignment="1">
      <alignment horizontal="center"/>
    </xf>
    <xf numFmtId="0" fontId="3" fillId="3" borderId="4" xfId="0" applyFont="1" applyFill="1" applyBorder="1" applyAlignment="1">
      <alignment vertical="justify" wrapText="1"/>
    </xf>
    <xf numFmtId="0" fontId="24" fillId="3" borderId="4" xfId="0" applyFont="1" applyFill="1" applyBorder="1" applyAlignment="1">
      <alignment horizontal="center" vertical="center"/>
    </xf>
    <xf numFmtId="164" fontId="24" fillId="3" borderId="4" xfId="0" applyNumberFormat="1" applyFont="1" applyFill="1" applyBorder="1" applyAlignment="1">
      <alignment horizontal="center" vertical="center"/>
    </xf>
    <xf numFmtId="165" fontId="11" fillId="2" borderId="3" xfId="1" applyNumberFormat="1" applyFont="1" applyFill="1" applyBorder="1" applyAlignment="1">
      <alignment horizontal="left" vertical="justify"/>
    </xf>
    <xf numFmtId="165" fontId="11" fillId="3" borderId="3" xfId="1" applyNumberFormat="1" applyFont="1" applyFill="1" applyBorder="1" applyAlignment="1">
      <alignment horizontal="left" vertical="justify"/>
    </xf>
    <xf numFmtId="0" fontId="12" fillId="3" borderId="4" xfId="2" applyNumberFormat="1" applyFont="1" applyFill="1" applyBorder="1" applyAlignment="1">
      <alignment horizontal="left"/>
    </xf>
    <xf numFmtId="0" fontId="13" fillId="2" borderId="21" xfId="2" quotePrefix="1" applyNumberFormat="1" applyFont="1" applyFill="1" applyBorder="1" applyAlignment="1">
      <alignment horizontal="left"/>
    </xf>
    <xf numFmtId="0" fontId="10" fillId="0" borderId="21" xfId="0" applyFont="1" applyBorder="1" applyAlignment="1">
      <alignment horizontal="center"/>
    </xf>
    <xf numFmtId="0" fontId="10" fillId="0" borderId="19" xfId="0" applyFont="1" applyBorder="1" applyAlignment="1">
      <alignment horizontal="center"/>
    </xf>
    <xf numFmtId="164" fontId="10" fillId="0" borderId="19" xfId="1" applyNumberFormat="1" applyFont="1" applyBorder="1"/>
    <xf numFmtId="0" fontId="10" fillId="0" borderId="19" xfId="0" applyFont="1" applyBorder="1" applyAlignment="1">
      <alignment wrapText="1"/>
    </xf>
    <xf numFmtId="49" fontId="11" fillId="2" borderId="19" xfId="2" applyNumberFormat="1" applyFont="1" applyFill="1" applyBorder="1" applyAlignment="1">
      <alignment horizontal="center"/>
    </xf>
    <xf numFmtId="49" fontId="11" fillId="3" borderId="20" xfId="1" applyNumberFormat="1" applyFont="1" applyFill="1" applyBorder="1" applyAlignment="1">
      <alignment horizontal="left" vertical="justify"/>
    </xf>
    <xf numFmtId="0" fontId="11" fillId="3" borderId="21" xfId="3" applyFont="1" applyFill="1" applyBorder="1" applyAlignment="1">
      <alignment horizontal="left" wrapText="1"/>
    </xf>
    <xf numFmtId="164" fontId="11" fillId="3" borderId="21" xfId="1" applyFont="1" applyFill="1" applyBorder="1" applyAlignment="1">
      <alignment horizontal="center"/>
    </xf>
    <xf numFmtId="0" fontId="10" fillId="0" borderId="23" xfId="0" applyFont="1" applyBorder="1" applyAlignment="1">
      <alignment horizontal="center" vertical="center"/>
    </xf>
    <xf numFmtId="164" fontId="10" fillId="0" borderId="23" xfId="1" applyNumberFormat="1" applyFont="1" applyBorder="1" applyAlignment="1">
      <alignment horizontal="center" vertical="center"/>
    </xf>
    <xf numFmtId="0" fontId="12" fillId="2" borderId="25" xfId="2" quotePrefix="1" applyNumberFormat="1" applyFont="1" applyFill="1" applyBorder="1" applyAlignment="1">
      <alignment horizontal="center"/>
    </xf>
    <xf numFmtId="164" fontId="13" fillId="2" borderId="25" xfId="2" applyFont="1" applyFill="1" applyBorder="1" applyAlignment="1">
      <alignment horizontal="center"/>
    </xf>
    <xf numFmtId="164" fontId="13" fillId="3" borderId="25" xfId="1" applyNumberFormat="1" applyFont="1" applyFill="1" applyBorder="1" applyAlignment="1">
      <alignment horizontal="center"/>
    </xf>
    <xf numFmtId="0" fontId="13" fillId="2" borderId="4" xfId="2" applyNumberFormat="1" applyFont="1" applyFill="1" applyBorder="1" applyAlignment="1">
      <alignment horizontal="left"/>
    </xf>
    <xf numFmtId="0" fontId="14" fillId="2" borderId="4" xfId="2" applyNumberFormat="1" applyFont="1" applyFill="1" applyBorder="1" applyAlignment="1">
      <alignment horizontal="left"/>
    </xf>
    <xf numFmtId="0" fontId="11" fillId="2" borderId="4" xfId="2" applyNumberFormat="1" applyFont="1" applyFill="1" applyBorder="1"/>
    <xf numFmtId="0" fontId="14" fillId="2" borderId="4" xfId="2" applyNumberFormat="1" applyFont="1" applyFill="1" applyBorder="1"/>
    <xf numFmtId="0" fontId="12" fillId="2" borderId="4" xfId="2" applyNumberFormat="1" applyFont="1" applyFill="1" applyBorder="1" applyAlignment="1">
      <alignment vertical="top"/>
    </xf>
    <xf numFmtId="0" fontId="13" fillId="2" borderId="27" xfId="2" quotePrefix="1" applyNumberFormat="1" applyFont="1" applyFill="1" applyBorder="1" applyAlignment="1">
      <alignment horizontal="left"/>
    </xf>
    <xf numFmtId="0" fontId="11" fillId="3" borderId="27" xfId="3" applyFont="1" applyFill="1" applyBorder="1" applyAlignment="1">
      <alignment horizontal="center"/>
    </xf>
    <xf numFmtId="164" fontId="11" fillId="3" borderId="27" xfId="1" applyNumberFormat="1" applyFont="1" applyFill="1" applyBorder="1" applyAlignment="1">
      <alignment horizontal="center"/>
    </xf>
    <xf numFmtId="0" fontId="13" fillId="2" borderId="29" xfId="2" quotePrefix="1" applyNumberFormat="1" applyFont="1" applyFill="1" applyBorder="1" applyAlignment="1">
      <alignment horizontal="left"/>
    </xf>
    <xf numFmtId="0" fontId="11" fillId="4" borderId="29" xfId="3" applyFont="1" applyFill="1" applyBorder="1" applyAlignment="1">
      <alignment horizontal="center"/>
    </xf>
    <xf numFmtId="164" fontId="11" fillId="3" borderId="29" xfId="1" applyNumberFormat="1" applyFont="1" applyFill="1" applyBorder="1" applyAlignment="1">
      <alignment horizontal="center"/>
    </xf>
    <xf numFmtId="164" fontId="11" fillId="2" borderId="27" xfId="2" applyFont="1" applyFill="1" applyBorder="1" applyAlignment="1">
      <alignment horizontal="center"/>
    </xf>
    <xf numFmtId="164" fontId="11" fillId="2" borderId="29" xfId="2" applyFont="1" applyFill="1" applyBorder="1" applyAlignment="1">
      <alignment horizontal="center"/>
    </xf>
    <xf numFmtId="164" fontId="10" fillId="0" borderId="21" xfId="1" applyNumberFormat="1" applyFont="1" applyBorder="1"/>
    <xf numFmtId="0" fontId="10" fillId="0" borderId="21" xfId="0" applyFont="1" applyBorder="1"/>
    <xf numFmtId="0" fontId="13" fillId="2" borderId="0" xfId="2" quotePrefix="1" applyNumberFormat="1" applyFont="1" applyFill="1" applyBorder="1" applyAlignment="1">
      <alignment horizontal="left"/>
    </xf>
    <xf numFmtId="164" fontId="11" fillId="3" borderId="21" xfId="1" applyNumberFormat="1" applyFont="1" applyFill="1" applyBorder="1" applyAlignment="1">
      <alignment horizontal="center"/>
    </xf>
    <xf numFmtId="0" fontId="13" fillId="2" borderId="25" xfId="2" quotePrefix="1" applyNumberFormat="1" applyFont="1" applyFill="1" applyBorder="1" applyAlignment="1">
      <alignment horizontal="left"/>
    </xf>
    <xf numFmtId="164" fontId="13" fillId="2" borderId="21" xfId="2" applyFont="1" applyFill="1" applyBorder="1" applyAlignment="1">
      <alignment horizontal="center"/>
    </xf>
    <xf numFmtId="164" fontId="13" fillId="3" borderId="21" xfId="1" applyNumberFormat="1" applyFont="1" applyFill="1" applyBorder="1" applyAlignment="1">
      <alignment horizontal="center"/>
    </xf>
    <xf numFmtId="164" fontId="11" fillId="2" borderId="25" xfId="2" applyFont="1" applyFill="1" applyBorder="1" applyAlignment="1">
      <alignment horizontal="center"/>
    </xf>
    <xf numFmtId="164" fontId="11" fillId="3" borderId="25" xfId="1" applyNumberFormat="1" applyFont="1" applyFill="1" applyBorder="1" applyAlignment="1">
      <alignment horizontal="center"/>
    </xf>
    <xf numFmtId="164" fontId="11" fillId="2" borderId="21" xfId="2" applyFont="1" applyFill="1" applyBorder="1" applyAlignment="1">
      <alignment horizontal="center"/>
    </xf>
    <xf numFmtId="165" fontId="11" fillId="2" borderId="30" xfId="1" applyNumberFormat="1" applyFont="1" applyFill="1" applyBorder="1" applyAlignment="1">
      <alignment horizontal="left" vertical="justify"/>
    </xf>
    <xf numFmtId="165" fontId="11" fillId="2" borderId="31" xfId="1" applyNumberFormat="1" applyFont="1" applyFill="1" applyBorder="1" applyAlignment="1">
      <alignment horizontal="left" vertical="justify"/>
    </xf>
    <xf numFmtId="49" fontId="3" fillId="2" borderId="32" xfId="0" applyNumberFormat="1" applyFont="1" applyFill="1" applyBorder="1"/>
    <xf numFmtId="0" fontId="9" fillId="2" borderId="33" xfId="0" applyFont="1" applyFill="1" applyBorder="1" applyAlignment="1">
      <alignment horizontal="center"/>
    </xf>
    <xf numFmtId="164" fontId="9" fillId="2" borderId="34" xfId="0" applyNumberFormat="1" applyFont="1" applyFill="1" applyBorder="1" applyAlignment="1">
      <alignment horizontal="center"/>
    </xf>
    <xf numFmtId="49" fontId="3" fillId="2" borderId="35" xfId="0" applyNumberFormat="1" applyFont="1" applyFill="1" applyBorder="1"/>
    <xf numFmtId="0" fontId="9" fillId="2" borderId="36" xfId="0" applyFont="1" applyFill="1" applyBorder="1" applyAlignment="1">
      <alignment horizontal="center"/>
    </xf>
    <xf numFmtId="164" fontId="9" fillId="2" borderId="37" xfId="0" applyNumberFormat="1" applyFont="1" applyFill="1" applyBorder="1" applyAlignment="1">
      <alignment horizontal="center"/>
    </xf>
    <xf numFmtId="49" fontId="3" fillId="2" borderId="38" xfId="0" applyNumberFormat="1" applyFont="1" applyFill="1" applyBorder="1"/>
    <xf numFmtId="0" fontId="9" fillId="2" borderId="39" xfId="0" applyFont="1" applyFill="1" applyBorder="1" applyAlignment="1">
      <alignment horizontal="center"/>
    </xf>
    <xf numFmtId="164" fontId="9" fillId="2" borderId="40" xfId="0" applyNumberFormat="1" applyFont="1" applyFill="1" applyBorder="1" applyAlignment="1">
      <alignment horizontal="center"/>
    </xf>
    <xf numFmtId="0" fontId="0" fillId="0" borderId="41" xfId="0" applyBorder="1"/>
    <xf numFmtId="0" fontId="0" fillId="0" borderId="42" xfId="0" applyBorder="1"/>
    <xf numFmtId="0" fontId="26" fillId="0" borderId="42" xfId="0" applyFont="1" applyBorder="1" applyAlignment="1">
      <alignment horizontal="center"/>
    </xf>
    <xf numFmtId="0" fontId="27" fillId="0" borderId="42" xfId="0" applyFont="1" applyBorder="1"/>
    <xf numFmtId="0" fontId="28" fillId="0" borderId="42" xfId="0" applyFont="1" applyBorder="1" applyAlignment="1">
      <alignment horizontal="center" vertical="center" wrapText="1"/>
    </xf>
    <xf numFmtId="0" fontId="29" fillId="0" borderId="42" xfId="0" applyFont="1" applyBorder="1" applyAlignment="1">
      <alignment horizontal="center"/>
    </xf>
    <xf numFmtId="0" fontId="27" fillId="0" borderId="42" xfId="0" applyFont="1" applyBorder="1" applyAlignment="1">
      <alignment horizontal="center"/>
    </xf>
    <xf numFmtId="165" fontId="11" fillId="0" borderId="4" xfId="1" applyNumberFormat="1" applyFont="1" applyFill="1" applyBorder="1" applyAlignment="1">
      <alignment horizontal="center"/>
    </xf>
    <xf numFmtId="164" fontId="10" fillId="0" borderId="4" xfId="1" applyFont="1" applyFill="1" applyBorder="1" applyAlignment="1">
      <alignment horizontal="center" vertical="center" wrapText="1"/>
    </xf>
    <xf numFmtId="164" fontId="10" fillId="0" borderId="5" xfId="1" applyFont="1" applyFill="1" applyBorder="1" applyAlignment="1">
      <alignment horizontal="center" vertical="center" wrapText="1"/>
    </xf>
    <xf numFmtId="164" fontId="10" fillId="0" borderId="4" xfId="1" applyFont="1" applyFill="1" applyBorder="1"/>
    <xf numFmtId="164" fontId="10" fillId="0" borderId="5" xfId="1" applyFont="1" applyFill="1" applyBorder="1"/>
    <xf numFmtId="0" fontId="11" fillId="0" borderId="4" xfId="2" quotePrefix="1" applyNumberFormat="1" applyFont="1" applyFill="1" applyBorder="1" applyAlignment="1"/>
    <xf numFmtId="0" fontId="11" fillId="0" borderId="5" xfId="2" quotePrefix="1" applyNumberFormat="1" applyFont="1" applyFill="1" applyBorder="1" applyAlignment="1"/>
    <xf numFmtId="165" fontId="10" fillId="0" borderId="4" xfId="0" applyNumberFormat="1" applyFont="1" applyFill="1" applyBorder="1" applyAlignment="1">
      <alignment horizontal="center" vertical="center"/>
    </xf>
    <xf numFmtId="0" fontId="10" fillId="0" borderId="4" xfId="0" applyFont="1" applyFill="1" applyBorder="1" applyAlignment="1">
      <alignment horizontal="center" vertical="center"/>
    </xf>
    <xf numFmtId="0" fontId="10" fillId="0" borderId="5" xfId="0" applyFont="1" applyFill="1" applyBorder="1" applyAlignment="1">
      <alignment horizontal="center" vertical="center"/>
    </xf>
    <xf numFmtId="165" fontId="10" fillId="0" borderId="4" xfId="1" applyNumberFormat="1" applyFont="1" applyFill="1" applyBorder="1"/>
    <xf numFmtId="0" fontId="11" fillId="0" borderId="4" xfId="2" quotePrefix="1" applyNumberFormat="1" applyFont="1" applyFill="1" applyBorder="1" applyAlignment="1">
      <alignment vertical="justify"/>
    </xf>
    <xf numFmtId="164" fontId="10" fillId="0" borderId="4" xfId="1" applyFont="1" applyFill="1" applyBorder="1" applyAlignment="1"/>
    <xf numFmtId="164" fontId="10" fillId="0" borderId="5" xfId="1" applyFont="1" applyFill="1" applyBorder="1" applyAlignment="1"/>
    <xf numFmtId="0" fontId="11" fillId="0" borderId="4" xfId="2" quotePrefix="1" applyNumberFormat="1" applyFont="1" applyFill="1" applyBorder="1" applyAlignment="1">
      <alignment vertical="top"/>
    </xf>
    <xf numFmtId="0" fontId="11" fillId="0" borderId="4" xfId="2" applyNumberFormat="1" applyFont="1" applyFill="1" applyBorder="1" applyAlignment="1">
      <alignment vertical="top"/>
    </xf>
    <xf numFmtId="0" fontId="11" fillId="0" borderId="5" xfId="2" quotePrefix="1" applyNumberFormat="1" applyFont="1" applyFill="1" applyBorder="1" applyAlignment="1">
      <alignment vertical="top"/>
    </xf>
    <xf numFmtId="165" fontId="11" fillId="0" borderId="4" xfId="1" applyNumberFormat="1" applyFont="1" applyFill="1" applyBorder="1" applyAlignment="1">
      <alignment horizontal="center" vertical="top"/>
    </xf>
    <xf numFmtId="164" fontId="10" fillId="0" borderId="4" xfId="1" applyFont="1" applyFill="1" applyBorder="1" applyAlignment="1">
      <alignment horizontal="center" vertical="top" wrapText="1"/>
    </xf>
    <xf numFmtId="164" fontId="10" fillId="0" borderId="5" xfId="1" applyFont="1" applyFill="1" applyBorder="1" applyAlignment="1">
      <alignment horizontal="center" vertical="top" wrapText="1"/>
    </xf>
    <xf numFmtId="165" fontId="16" fillId="0" borderId="4" xfId="1" applyNumberFormat="1" applyFont="1" applyFill="1" applyBorder="1"/>
    <xf numFmtId="164" fontId="16" fillId="0" borderId="4" xfId="1" applyFont="1" applyFill="1" applyBorder="1"/>
    <xf numFmtId="164" fontId="16" fillId="0" borderId="5" xfId="1" applyFont="1" applyFill="1" applyBorder="1"/>
    <xf numFmtId="164" fontId="11" fillId="0" borderId="4" xfId="1" applyNumberFormat="1" applyFont="1" applyFill="1" applyBorder="1" applyAlignment="1">
      <alignment horizontal="center"/>
    </xf>
    <xf numFmtId="164" fontId="13" fillId="0" borderId="5" xfId="1" applyNumberFormat="1" applyFont="1" applyFill="1" applyBorder="1"/>
    <xf numFmtId="0" fontId="11" fillId="0" borderId="4" xfId="2" applyNumberFormat="1" applyFont="1" applyFill="1" applyBorder="1" applyAlignment="1">
      <alignment vertical="top" wrapText="1"/>
    </xf>
    <xf numFmtId="0" fontId="11" fillId="0" borderId="5" xfId="2" applyNumberFormat="1" applyFont="1" applyFill="1" applyBorder="1" applyAlignment="1">
      <alignment vertical="top" wrapText="1"/>
    </xf>
    <xf numFmtId="0" fontId="11" fillId="0" borderId="4" xfId="2" applyNumberFormat="1" applyFont="1" applyFill="1" applyBorder="1" applyAlignment="1">
      <alignment wrapText="1"/>
    </xf>
    <xf numFmtId="0" fontId="11" fillId="0" borderId="5" xfId="2" applyNumberFormat="1" applyFont="1" applyFill="1" applyBorder="1" applyAlignment="1">
      <alignment wrapText="1"/>
    </xf>
    <xf numFmtId="0" fontId="11" fillId="0" borderId="4" xfId="2" applyNumberFormat="1" applyFont="1" applyFill="1" applyBorder="1" applyAlignment="1"/>
    <xf numFmtId="0" fontId="11" fillId="0" borderId="5" xfId="2" applyNumberFormat="1" applyFont="1" applyFill="1" applyBorder="1" applyAlignment="1"/>
    <xf numFmtId="164" fontId="13" fillId="0" borderId="5" xfId="2" applyFont="1" applyFill="1" applyBorder="1"/>
    <xf numFmtId="164" fontId="16" fillId="0" borderId="4" xfId="1" applyFont="1" applyFill="1" applyBorder="1" applyAlignment="1"/>
    <xf numFmtId="164" fontId="10" fillId="0" borderId="0" xfId="1" applyFont="1" applyFill="1" applyBorder="1"/>
    <xf numFmtId="165" fontId="13" fillId="0" borderId="4" xfId="1" applyNumberFormat="1" applyFont="1" applyFill="1" applyBorder="1" applyAlignment="1">
      <alignment horizontal="center"/>
    </xf>
    <xf numFmtId="0" fontId="11" fillId="0" borderId="5" xfId="2" applyNumberFormat="1" applyFont="1" applyFill="1" applyBorder="1" applyAlignment="1">
      <alignment vertical="top"/>
    </xf>
    <xf numFmtId="164" fontId="11" fillId="0" borderId="5" xfId="2" applyFont="1" applyFill="1" applyBorder="1"/>
    <xf numFmtId="165" fontId="10" fillId="0" borderId="0" xfId="1" applyNumberFormat="1" applyFont="1" applyFill="1" applyBorder="1"/>
    <xf numFmtId="164" fontId="11" fillId="0" borderId="4" xfId="1" applyNumberFormat="1" applyFont="1" applyFill="1" applyBorder="1" applyAlignment="1"/>
    <xf numFmtId="164" fontId="16" fillId="0" borderId="5" xfId="1" applyFont="1" applyFill="1" applyBorder="1" applyAlignment="1"/>
    <xf numFmtId="0" fontId="10" fillId="0" borderId="4" xfId="0" applyFont="1" applyFill="1" applyBorder="1" applyAlignment="1">
      <alignment wrapText="1"/>
    </xf>
    <xf numFmtId="164" fontId="10" fillId="0" borderId="4" xfId="1" applyNumberFormat="1" applyFont="1" applyFill="1" applyBorder="1"/>
    <xf numFmtId="165" fontId="10" fillId="0" borderId="4" xfId="1" applyNumberFormat="1" applyFont="1" applyFill="1" applyBorder="1" applyAlignment="1"/>
    <xf numFmtId="0" fontId="17" fillId="0" borderId="4" xfId="0" applyFont="1" applyFill="1" applyBorder="1" applyAlignment="1">
      <alignment wrapText="1"/>
    </xf>
    <xf numFmtId="0" fontId="16" fillId="0" borderId="4" xfId="0" applyFont="1" applyFill="1" applyBorder="1" applyAlignment="1">
      <alignment horizontal="center"/>
    </xf>
    <xf numFmtId="164" fontId="16" fillId="0" borderId="4" xfId="1" applyNumberFormat="1" applyFont="1" applyFill="1" applyBorder="1"/>
    <xf numFmtId="0" fontId="10" fillId="0" borderId="0" xfId="0" applyFont="1" applyFill="1"/>
    <xf numFmtId="49" fontId="11" fillId="0" borderId="4" xfId="2" applyNumberFormat="1" applyFont="1" applyFill="1" applyBorder="1" applyAlignment="1">
      <alignment horizontal="center"/>
    </xf>
    <xf numFmtId="0" fontId="32" fillId="0" borderId="0" xfId="0" applyFont="1"/>
    <xf numFmtId="0" fontId="12" fillId="0" borderId="4" xfId="2" applyNumberFormat="1" applyFont="1" applyFill="1" applyBorder="1" applyAlignment="1">
      <alignment horizontal="justify" vertical="top"/>
    </xf>
    <xf numFmtId="164" fontId="11" fillId="0" borderId="4" xfId="2" applyNumberFormat="1" applyFont="1" applyFill="1" applyBorder="1" applyAlignment="1">
      <alignment horizontal="center"/>
    </xf>
    <xf numFmtId="0" fontId="12" fillId="0" borderId="4" xfId="2" applyNumberFormat="1" applyFont="1" applyFill="1" applyBorder="1" applyAlignment="1">
      <alignment horizontal="left" vertical="top"/>
    </xf>
    <xf numFmtId="164" fontId="11" fillId="0" borderId="4" xfId="2" applyFont="1" applyFill="1" applyBorder="1" applyAlignment="1">
      <alignment horizontal="center"/>
    </xf>
    <xf numFmtId="0" fontId="12" fillId="0" borderId="4" xfId="2" applyNumberFormat="1" applyFont="1" applyFill="1" applyBorder="1" applyAlignment="1">
      <alignment horizontal="center" vertical="top"/>
    </xf>
    <xf numFmtId="0" fontId="12" fillId="0" borderId="4" xfId="2" applyNumberFormat="1" applyFont="1" applyFill="1" applyBorder="1" applyAlignment="1">
      <alignment horizontal="center"/>
    </xf>
    <xf numFmtId="164" fontId="10" fillId="0" borderId="0" xfId="0" applyNumberFormat="1" applyFont="1" applyFill="1"/>
    <xf numFmtId="0" fontId="12" fillId="0" borderId="4" xfId="2" applyNumberFormat="1" applyFont="1" applyFill="1" applyBorder="1" applyAlignment="1">
      <alignment horizontal="left" wrapText="1"/>
    </xf>
    <xf numFmtId="164" fontId="13" fillId="0" borderId="4" xfId="2" applyFont="1" applyFill="1" applyBorder="1" applyAlignment="1">
      <alignment horizontal="center"/>
    </xf>
    <xf numFmtId="164" fontId="13" fillId="0" borderId="4" xfId="1" applyNumberFormat="1" applyFont="1" applyFill="1" applyBorder="1" applyAlignment="1">
      <alignment horizontal="center"/>
    </xf>
    <xf numFmtId="0" fontId="12" fillId="0" borderId="4" xfId="2" applyNumberFormat="1" applyFont="1" applyFill="1" applyBorder="1" applyAlignment="1">
      <alignment horizontal="left"/>
    </xf>
    <xf numFmtId="0" fontId="12" fillId="0" borderId="4" xfId="2" applyNumberFormat="1" applyFont="1" applyFill="1" applyBorder="1" applyAlignment="1">
      <alignment horizontal="justify"/>
    </xf>
    <xf numFmtId="164" fontId="11" fillId="0" borderId="4" xfId="1" applyFont="1" applyFill="1" applyBorder="1" applyAlignment="1">
      <alignment horizontal="center"/>
    </xf>
    <xf numFmtId="0" fontId="13" fillId="0" borderId="4" xfId="3" applyFont="1" applyFill="1" applyBorder="1" applyAlignment="1">
      <alignment horizontal="center"/>
    </xf>
    <xf numFmtId="0" fontId="10" fillId="0" borderId="45" xfId="0" applyFont="1" applyBorder="1" applyAlignment="1">
      <alignment wrapText="1"/>
    </xf>
    <xf numFmtId="49" fontId="11" fillId="2" borderId="45" xfId="2" applyNumberFormat="1" applyFont="1" applyFill="1" applyBorder="1" applyAlignment="1">
      <alignment horizontal="center"/>
    </xf>
    <xf numFmtId="164" fontId="10" fillId="0" borderId="45" xfId="1" applyNumberFormat="1" applyFont="1" applyBorder="1"/>
    <xf numFmtId="165" fontId="11" fillId="0" borderId="29" xfId="1" applyNumberFormat="1" applyFont="1" applyFill="1" applyBorder="1" applyAlignment="1">
      <alignment horizontal="center"/>
    </xf>
    <xf numFmtId="164" fontId="10" fillId="0" borderId="29" xfId="1" applyFont="1" applyFill="1" applyBorder="1" applyAlignment="1">
      <alignment horizontal="center" vertical="center" wrapText="1"/>
    </xf>
    <xf numFmtId="164" fontId="16" fillId="0" borderId="46" xfId="1" applyFont="1" applyFill="1" applyBorder="1" applyAlignment="1">
      <alignment horizontal="center" vertical="center" wrapText="1"/>
    </xf>
    <xf numFmtId="165" fontId="11" fillId="0" borderId="27" xfId="1" applyNumberFormat="1" applyFont="1" applyFill="1" applyBorder="1" applyAlignment="1">
      <alignment horizontal="center"/>
    </xf>
    <xf numFmtId="164" fontId="10" fillId="0" borderId="27" xfId="1" applyFont="1" applyFill="1" applyBorder="1"/>
    <xf numFmtId="164" fontId="10" fillId="0" borderId="48" xfId="1" applyFont="1" applyFill="1" applyBorder="1"/>
    <xf numFmtId="164" fontId="10" fillId="0" borderId="29" xfId="1" applyFont="1" applyFill="1" applyBorder="1"/>
    <xf numFmtId="164" fontId="16" fillId="0" borderId="46" xfId="1" applyFont="1" applyFill="1" applyBorder="1"/>
    <xf numFmtId="164" fontId="10" fillId="0" borderId="49" xfId="1" applyFont="1" applyFill="1" applyBorder="1"/>
    <xf numFmtId="164" fontId="16" fillId="0" borderId="47" xfId="1" applyFont="1" applyFill="1" applyBorder="1"/>
    <xf numFmtId="165" fontId="11" fillId="0" borderId="25" xfId="1" applyNumberFormat="1" applyFont="1" applyFill="1" applyBorder="1" applyAlignment="1">
      <alignment horizontal="center"/>
    </xf>
    <xf numFmtId="164" fontId="10" fillId="0" borderId="25" xfId="1" applyFont="1" applyFill="1" applyBorder="1"/>
    <xf numFmtId="165" fontId="11" fillId="0" borderId="21" xfId="1" applyNumberFormat="1" applyFont="1" applyFill="1" applyBorder="1" applyAlignment="1">
      <alignment horizontal="center"/>
    </xf>
    <xf numFmtId="164" fontId="10" fillId="0" borderId="21" xfId="1" applyFont="1" applyFill="1" applyBorder="1"/>
    <xf numFmtId="165" fontId="11" fillId="0" borderId="50" xfId="1" applyNumberFormat="1" applyFont="1" applyFill="1" applyBorder="1" applyAlignment="1">
      <alignment horizontal="center"/>
    </xf>
    <xf numFmtId="165" fontId="11" fillId="0" borderId="51" xfId="1" applyNumberFormat="1" applyFont="1" applyFill="1" applyBorder="1" applyAlignment="1">
      <alignment horizontal="center"/>
    </xf>
    <xf numFmtId="164" fontId="11" fillId="3" borderId="50" xfId="1" applyNumberFormat="1" applyFont="1" applyFill="1" applyBorder="1" applyAlignment="1">
      <alignment horizontal="center"/>
    </xf>
    <xf numFmtId="164" fontId="11" fillId="3" borderId="51" xfId="1" applyNumberFormat="1" applyFont="1" applyFill="1" applyBorder="1" applyAlignment="1">
      <alignment horizontal="center"/>
    </xf>
    <xf numFmtId="0" fontId="10" fillId="0" borderId="27" xfId="0" applyFont="1" applyBorder="1" applyAlignment="1">
      <alignment horizontal="center"/>
    </xf>
    <xf numFmtId="164" fontId="10" fillId="0" borderId="27" xfId="1" applyNumberFormat="1" applyFont="1" applyBorder="1"/>
    <xf numFmtId="165" fontId="10" fillId="0" borderId="27" xfId="1" applyNumberFormat="1" applyFont="1" applyFill="1" applyBorder="1"/>
    <xf numFmtId="0" fontId="10" fillId="0" borderId="29" xfId="0" applyFont="1" applyBorder="1" applyAlignment="1">
      <alignment horizontal="center"/>
    </xf>
    <xf numFmtId="164" fontId="10" fillId="0" borderId="29" xfId="1" applyNumberFormat="1" applyFont="1" applyBorder="1"/>
    <xf numFmtId="165" fontId="10" fillId="0" borderId="29" xfId="1" applyNumberFormat="1" applyFont="1" applyFill="1" applyBorder="1"/>
    <xf numFmtId="164" fontId="10" fillId="0" borderId="27" xfId="1" applyFont="1" applyBorder="1"/>
    <xf numFmtId="164" fontId="10" fillId="0" borderId="29" xfId="1" applyFont="1" applyBorder="1"/>
    <xf numFmtId="0" fontId="31" fillId="0" borderId="4" xfId="3" applyFont="1" applyBorder="1" applyAlignment="1">
      <alignment horizontal="left" wrapText="1"/>
    </xf>
    <xf numFmtId="0" fontId="12" fillId="0" borderId="4" xfId="2" quotePrefix="1" applyNumberFormat="1" applyFont="1" applyFill="1" applyBorder="1" applyAlignment="1">
      <alignment horizontal="center"/>
    </xf>
    <xf numFmtId="0" fontId="12" fillId="0" borderId="0" xfId="2" quotePrefix="1" applyNumberFormat="1" applyFont="1" applyFill="1" applyBorder="1" applyAlignment="1">
      <alignment horizontal="center"/>
    </xf>
    <xf numFmtId="165" fontId="11" fillId="0" borderId="3" xfId="1" applyNumberFormat="1" applyFont="1" applyFill="1" applyBorder="1" applyAlignment="1">
      <alignment horizontal="left" vertical="justify"/>
    </xf>
    <xf numFmtId="0" fontId="13" fillId="0" borderId="4" xfId="3" applyFont="1" applyBorder="1" applyAlignment="1">
      <alignment horizontal="left" wrapText="1"/>
    </xf>
    <xf numFmtId="0" fontId="13" fillId="0" borderId="4" xfId="3" applyFont="1" applyBorder="1" applyAlignment="1">
      <alignment horizontal="center"/>
    </xf>
    <xf numFmtId="164" fontId="13" fillId="3" borderId="4" xfId="1" applyFont="1" applyFill="1" applyBorder="1" applyAlignment="1">
      <alignment horizontal="center"/>
    </xf>
    <xf numFmtId="165" fontId="11" fillId="2" borderId="3" xfId="1" applyNumberFormat="1" applyFont="1" applyFill="1" applyBorder="1" applyAlignment="1">
      <alignment horizontal="left"/>
    </xf>
    <xf numFmtId="0" fontId="12" fillId="0" borderId="4" xfId="3" applyNumberFormat="1" applyFont="1" applyBorder="1" applyAlignment="1">
      <alignment horizontal="left"/>
    </xf>
    <xf numFmtId="165" fontId="11" fillId="2" borderId="3" xfId="1" applyNumberFormat="1" applyFont="1" applyFill="1" applyBorder="1" applyAlignment="1">
      <alignment horizontal="left" vertical="top"/>
    </xf>
    <xf numFmtId="49" fontId="10" fillId="0" borderId="0" xfId="0" applyNumberFormat="1" applyFont="1" applyAlignment="1">
      <alignment horizontal="left"/>
    </xf>
    <xf numFmtId="49" fontId="10" fillId="0" borderId="22" xfId="0" applyNumberFormat="1" applyFont="1" applyBorder="1" applyAlignment="1">
      <alignment horizontal="left" vertical="center"/>
    </xf>
    <xf numFmtId="49" fontId="11" fillId="2" borderId="24" xfId="2" applyNumberFormat="1" applyFont="1" applyFill="1" applyBorder="1" applyAlignment="1">
      <alignment horizontal="left" vertical="justify"/>
    </xf>
    <xf numFmtId="49" fontId="11" fillId="2" borderId="3" xfId="2" quotePrefix="1" applyNumberFormat="1" applyFont="1" applyFill="1" applyBorder="1" applyAlignment="1">
      <alignment horizontal="left" vertical="justify"/>
    </xf>
    <xf numFmtId="49" fontId="11" fillId="2" borderId="3" xfId="2" applyNumberFormat="1" applyFont="1" applyFill="1" applyBorder="1" applyAlignment="1">
      <alignment horizontal="left" vertical="top"/>
    </xf>
    <xf numFmtId="49" fontId="11" fillId="2" borderId="26" xfId="2" applyNumberFormat="1" applyFont="1" applyFill="1" applyBorder="1" applyAlignment="1">
      <alignment horizontal="left" vertical="justify"/>
    </xf>
    <xf numFmtId="49" fontId="11" fillId="2" borderId="28" xfId="2" applyNumberFormat="1" applyFont="1" applyFill="1" applyBorder="1" applyAlignment="1">
      <alignment horizontal="left" vertical="justify"/>
    </xf>
    <xf numFmtId="49" fontId="10" fillId="0" borderId="3" xfId="0" applyNumberFormat="1" applyFont="1" applyBorder="1" applyAlignment="1">
      <alignment horizontal="left" vertical="center"/>
    </xf>
    <xf numFmtId="49" fontId="10" fillId="0" borderId="16" xfId="0" applyNumberFormat="1" applyFont="1" applyBorder="1" applyAlignment="1">
      <alignment horizontal="left" vertical="center"/>
    </xf>
    <xf numFmtId="49" fontId="11" fillId="0" borderId="3" xfId="2" applyNumberFormat="1" applyFont="1" applyFill="1" applyBorder="1" applyAlignment="1">
      <alignment horizontal="left" vertical="justify"/>
    </xf>
    <xf numFmtId="49" fontId="11" fillId="0" borderId="3" xfId="2" applyNumberFormat="1" applyFont="1" applyFill="1" applyBorder="1" applyAlignment="1">
      <alignment horizontal="left"/>
    </xf>
    <xf numFmtId="49" fontId="10" fillId="0" borderId="3" xfId="0" applyNumberFormat="1" applyFont="1" applyBorder="1" applyAlignment="1">
      <alignment horizontal="left"/>
    </xf>
    <xf numFmtId="49" fontId="10" fillId="0" borderId="44" xfId="0" applyNumberFormat="1" applyFont="1" applyBorder="1" applyAlignment="1">
      <alignment horizontal="left"/>
    </xf>
    <xf numFmtId="49" fontId="10" fillId="0" borderId="3" xfId="0" applyNumberFormat="1" applyFont="1" applyFill="1" applyBorder="1" applyAlignment="1">
      <alignment horizontal="left"/>
    </xf>
    <xf numFmtId="49" fontId="10" fillId="0" borderId="20" xfId="0" applyNumberFormat="1" applyFont="1" applyBorder="1" applyAlignment="1">
      <alignment horizontal="left"/>
    </xf>
    <xf numFmtId="49" fontId="10" fillId="0" borderId="18" xfId="0" applyNumberFormat="1" applyFont="1" applyBorder="1" applyAlignment="1">
      <alignment horizontal="left"/>
    </xf>
    <xf numFmtId="49" fontId="10" fillId="3" borderId="3" xfId="0" applyNumberFormat="1" applyFont="1" applyFill="1" applyBorder="1" applyAlignment="1">
      <alignment horizontal="left"/>
    </xf>
    <xf numFmtId="49" fontId="10" fillId="0" borderId="3" xfId="0" applyNumberFormat="1" applyFont="1" applyBorder="1" applyAlignment="1">
      <alignment horizontal="left" vertical="top"/>
    </xf>
    <xf numFmtId="49" fontId="3" fillId="3" borderId="3" xfId="0" applyNumberFormat="1" applyFont="1" applyFill="1" applyBorder="1" applyAlignment="1">
      <alignment horizontal="left" vertical="center"/>
    </xf>
    <xf numFmtId="49" fontId="11" fillId="3" borderId="3" xfId="2" applyNumberFormat="1" applyFont="1" applyFill="1" applyBorder="1" applyAlignment="1">
      <alignment horizontal="left" vertical="top"/>
    </xf>
    <xf numFmtId="49" fontId="11" fillId="2" borderId="16" xfId="2" applyNumberFormat="1" applyFont="1" applyFill="1" applyBorder="1" applyAlignment="1">
      <alignment horizontal="left" vertical="justify"/>
    </xf>
    <xf numFmtId="49" fontId="11" fillId="2" borderId="30" xfId="2" applyNumberFormat="1" applyFont="1" applyFill="1" applyBorder="1" applyAlignment="1">
      <alignment horizontal="left" vertical="justify"/>
    </xf>
    <xf numFmtId="49" fontId="11" fillId="2" borderId="31" xfId="2" applyNumberFormat="1" applyFont="1" applyFill="1" applyBorder="1" applyAlignment="1">
      <alignment horizontal="left" vertical="justify"/>
    </xf>
    <xf numFmtId="49" fontId="10" fillId="0" borderId="0" xfId="0" applyNumberFormat="1" applyFont="1" applyBorder="1" applyAlignment="1">
      <alignment horizontal="left"/>
    </xf>
    <xf numFmtId="49" fontId="3" fillId="3" borderId="3" xfId="0" applyNumberFormat="1" applyFont="1" applyFill="1" applyBorder="1" applyAlignment="1">
      <alignment horizontal="left" vertical="top"/>
    </xf>
    <xf numFmtId="49" fontId="11" fillId="3" borderId="3" xfId="2" applyNumberFormat="1" applyFont="1" applyFill="1" applyBorder="1" applyAlignment="1">
      <alignment horizontal="left"/>
    </xf>
    <xf numFmtId="49" fontId="11" fillId="3" borderId="3" xfId="2" applyNumberFormat="1" applyFont="1" applyFill="1" applyBorder="1" applyAlignment="1">
      <alignment horizontal="left" vertical="justify"/>
    </xf>
    <xf numFmtId="49" fontId="11" fillId="2" borderId="3" xfId="3" applyNumberFormat="1" applyFont="1" applyFill="1" applyBorder="1" applyAlignment="1">
      <alignment horizontal="left"/>
    </xf>
    <xf numFmtId="49" fontId="11" fillId="0" borderId="3" xfId="1" applyNumberFormat="1" applyFont="1" applyFill="1" applyBorder="1" applyAlignment="1">
      <alignment horizontal="left" vertical="justify"/>
    </xf>
    <xf numFmtId="0" fontId="10" fillId="0" borderId="4" xfId="0" applyFont="1" applyFill="1" applyBorder="1" applyAlignment="1">
      <alignment horizontal="center"/>
    </xf>
    <xf numFmtId="49" fontId="11" fillId="2" borderId="3" xfId="2" applyNumberFormat="1" applyFont="1" applyFill="1" applyBorder="1" applyAlignment="1">
      <alignment horizontal="left" vertical="center"/>
    </xf>
    <xf numFmtId="0" fontId="11" fillId="0" borderId="4" xfId="3" applyFont="1" applyBorder="1" applyAlignment="1">
      <alignment horizontal="left" vertical="center" wrapText="1"/>
    </xf>
    <xf numFmtId="165" fontId="11" fillId="0" borderId="4" xfId="1" applyNumberFormat="1" applyFont="1" applyFill="1" applyBorder="1" applyAlignment="1">
      <alignment horizontal="center" vertical="center"/>
    </xf>
    <xf numFmtId="164" fontId="11" fillId="0" borderId="4" xfId="1" applyNumberFormat="1" applyFont="1" applyFill="1" applyBorder="1" applyAlignment="1">
      <alignment vertical="center"/>
    </xf>
    <xf numFmtId="164" fontId="16" fillId="0" borderId="5" xfId="1" applyFont="1" applyFill="1" applyBorder="1" applyAlignment="1">
      <alignment vertical="center"/>
    </xf>
    <xf numFmtId="0" fontId="13" fillId="0" borderId="4" xfId="3" applyFont="1" applyFill="1" applyBorder="1" applyAlignment="1">
      <alignment horizontal="left" wrapText="1"/>
    </xf>
    <xf numFmtId="164" fontId="13" fillId="0" borderId="4" xfId="1" applyFont="1" applyFill="1" applyBorder="1" applyAlignment="1">
      <alignment horizontal="center"/>
    </xf>
    <xf numFmtId="0" fontId="11" fillId="0" borderId="4" xfId="2" applyNumberFormat="1" applyFont="1" applyFill="1" applyBorder="1" applyAlignment="1">
      <alignment horizontal="center"/>
    </xf>
    <xf numFmtId="49" fontId="3" fillId="0" borderId="3" xfId="0" applyNumberFormat="1" applyFont="1" applyFill="1" applyBorder="1" applyAlignment="1">
      <alignment horizontal="left" vertical="center"/>
    </xf>
    <xf numFmtId="0" fontId="22" fillId="0" borderId="4" xfId="0" applyFont="1" applyFill="1" applyBorder="1" applyAlignment="1">
      <alignment vertical="center" wrapText="1"/>
    </xf>
    <xf numFmtId="0" fontId="3" fillId="0" borderId="4" xfId="0" applyFont="1" applyFill="1" applyBorder="1" applyAlignment="1">
      <alignment horizontal="center" vertical="center"/>
    </xf>
    <xf numFmtId="164" fontId="3" fillId="0" borderId="4" xfId="0" applyNumberFormat="1" applyFont="1" applyFill="1" applyBorder="1" applyAlignment="1">
      <alignment horizontal="center" vertical="center"/>
    </xf>
    <xf numFmtId="0" fontId="17" fillId="0" borderId="4" xfId="0" applyFont="1" applyFill="1" applyBorder="1"/>
    <xf numFmtId="164" fontId="10" fillId="0" borderId="4" xfId="1" applyNumberFormat="1" applyFont="1" applyFill="1" applyBorder="1" applyAlignment="1"/>
    <xf numFmtId="0" fontId="11" fillId="0" borderId="4" xfId="3" applyFont="1" applyFill="1" applyBorder="1" applyAlignment="1">
      <alignment horizontal="left" wrapText="1"/>
    </xf>
    <xf numFmtId="49" fontId="7" fillId="2" borderId="52" xfId="0" applyNumberFormat="1" applyFont="1" applyFill="1" applyBorder="1" applyAlignment="1">
      <alignment horizontal="center"/>
    </xf>
    <xf numFmtId="0" fontId="7" fillId="2" borderId="53" xfId="0" applyFont="1" applyFill="1" applyBorder="1" applyAlignment="1">
      <alignment horizontal="left"/>
    </xf>
    <xf numFmtId="164" fontId="7" fillId="2" borderId="54" xfId="1" applyFont="1" applyFill="1" applyBorder="1" applyAlignment="1">
      <alignment horizontal="center"/>
    </xf>
    <xf numFmtId="49" fontId="7" fillId="2" borderId="55" xfId="0" applyNumberFormat="1" applyFont="1" applyFill="1" applyBorder="1" applyAlignment="1">
      <alignment horizontal="center"/>
    </xf>
    <xf numFmtId="0" fontId="7" fillId="2" borderId="56" xfId="0" applyFont="1" applyFill="1" applyBorder="1" applyAlignment="1">
      <alignment horizontal="left"/>
    </xf>
    <xf numFmtId="164" fontId="7" fillId="2" borderId="57" xfId="1" applyFont="1" applyFill="1" applyBorder="1" applyAlignment="1">
      <alignment horizontal="center"/>
    </xf>
    <xf numFmtId="0" fontId="33" fillId="0" borderId="42" xfId="0" applyFont="1" applyBorder="1" applyAlignment="1">
      <alignment horizontal="center" vertical="center"/>
    </xf>
    <xf numFmtId="0" fontId="33" fillId="0" borderId="43" xfId="0" applyFont="1" applyBorder="1" applyAlignment="1">
      <alignment horizontal="center" vertical="center"/>
    </xf>
    <xf numFmtId="49" fontId="4" fillId="2" borderId="0" xfId="0" applyNumberFormat="1" applyFont="1" applyFill="1" applyBorder="1" applyAlignment="1">
      <alignment horizontal="center" wrapText="1"/>
    </xf>
    <xf numFmtId="49" fontId="5" fillId="2" borderId="0" xfId="0" applyNumberFormat="1" applyFont="1" applyFill="1" applyBorder="1" applyAlignment="1">
      <alignment horizontal="center"/>
    </xf>
    <xf numFmtId="49" fontId="19" fillId="0" borderId="0" xfId="0" applyNumberFormat="1" applyFont="1" applyAlignment="1">
      <alignment horizontal="center" wrapText="1"/>
    </xf>
    <xf numFmtId="165" fontId="10" fillId="0" borderId="0" xfId="1" applyNumberFormat="1" applyFont="1" applyFill="1" applyBorder="1" applyAlignment="1">
      <alignment horizontal="center"/>
    </xf>
  </cellXfs>
  <cellStyles count="4">
    <cellStyle name="Comma" xfId="1" builtinId="3"/>
    <cellStyle name="Comma 2" xfId="2" xr:uid="{00000000-0005-0000-0000-000001000000}"/>
    <cellStyle name="Normal" xfId="0" builtinId="0"/>
    <cellStyle name="Normal 2"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6"/>
  <sheetViews>
    <sheetView tabSelected="1" workbookViewId="0">
      <selection activeCell="A7" sqref="A7"/>
    </sheetView>
  </sheetViews>
  <sheetFormatPr defaultRowHeight="15" x14ac:dyDescent="0.25"/>
  <cols>
    <col min="1" max="1" width="100.85546875" customWidth="1"/>
  </cols>
  <sheetData>
    <row r="1" spans="1:1" x14ac:dyDescent="0.25">
      <c r="A1" s="189"/>
    </row>
    <row r="2" spans="1:1" x14ac:dyDescent="0.25">
      <c r="A2" s="190"/>
    </row>
    <row r="3" spans="1:1" x14ac:dyDescent="0.25">
      <c r="A3" s="190"/>
    </row>
    <row r="4" spans="1:1" x14ac:dyDescent="0.25">
      <c r="A4" s="190"/>
    </row>
    <row r="5" spans="1:1" x14ac:dyDescent="0.25">
      <c r="A5" s="190"/>
    </row>
    <row r="6" spans="1:1" x14ac:dyDescent="0.25">
      <c r="A6" s="190"/>
    </row>
    <row r="7" spans="1:1" ht="33.75" x14ac:dyDescent="0.65">
      <c r="A7" s="191" t="s">
        <v>132</v>
      </c>
    </row>
    <row r="8" spans="1:1" ht="18.75" x14ac:dyDescent="0.4">
      <c r="A8" s="192"/>
    </row>
    <row r="9" spans="1:1" ht="18.75" x14ac:dyDescent="0.4">
      <c r="A9" s="192"/>
    </row>
    <row r="10" spans="1:1" ht="18.75" x14ac:dyDescent="0.4">
      <c r="A10" s="192"/>
    </row>
    <row r="11" spans="1:1" ht="18.75" x14ac:dyDescent="0.4">
      <c r="A11" s="192"/>
    </row>
    <row r="12" spans="1:1" ht="18.75" x14ac:dyDescent="0.4">
      <c r="A12" s="192"/>
    </row>
    <row r="13" spans="1:1" s="34" customFormat="1" ht="97.5" customHeight="1" x14ac:dyDescent="0.25">
      <c r="A13" s="193" t="s">
        <v>545</v>
      </c>
    </row>
    <row r="14" spans="1:1" x14ac:dyDescent="0.25">
      <c r="A14" s="190"/>
    </row>
    <row r="15" spans="1:1" ht="16.5" customHeight="1" x14ac:dyDescent="0.25">
      <c r="A15" s="190"/>
    </row>
    <row r="16" spans="1:1" ht="16.5" customHeight="1" x14ac:dyDescent="0.25">
      <c r="A16" s="190"/>
    </row>
    <row r="17" spans="1:1" ht="16.5" customHeight="1" x14ac:dyDescent="0.25">
      <c r="A17" s="190"/>
    </row>
    <row r="18" spans="1:1" ht="16.5" customHeight="1" x14ac:dyDescent="0.25">
      <c r="A18" s="190"/>
    </row>
    <row r="19" spans="1:1" ht="16.5" customHeight="1" x14ac:dyDescent="0.25">
      <c r="A19" s="190"/>
    </row>
    <row r="20" spans="1:1" ht="16.5" customHeight="1" x14ac:dyDescent="0.25">
      <c r="A20" s="190"/>
    </row>
    <row r="21" spans="1:1" x14ac:dyDescent="0.25">
      <c r="A21" s="190"/>
    </row>
    <row r="22" spans="1:1" x14ac:dyDescent="0.25">
      <c r="A22" s="190"/>
    </row>
    <row r="23" spans="1:1" x14ac:dyDescent="0.25">
      <c r="A23" s="190"/>
    </row>
    <row r="24" spans="1:1" ht="18.75" x14ac:dyDescent="0.4">
      <c r="A24" s="194" t="s">
        <v>260</v>
      </c>
    </row>
    <row r="25" spans="1:1" ht="18.75" x14ac:dyDescent="0.4">
      <c r="A25" s="195" t="s">
        <v>258</v>
      </c>
    </row>
    <row r="26" spans="1:1" ht="18.75" x14ac:dyDescent="0.4">
      <c r="A26" s="195" t="s">
        <v>259</v>
      </c>
    </row>
    <row r="27" spans="1:1" ht="18.75" x14ac:dyDescent="0.4">
      <c r="A27" s="192"/>
    </row>
    <row r="28" spans="1:1" ht="18.75" x14ac:dyDescent="0.4">
      <c r="A28" s="192"/>
    </row>
    <row r="29" spans="1:1" ht="18.75" x14ac:dyDescent="0.4">
      <c r="A29" s="192"/>
    </row>
    <row r="30" spans="1:1" ht="18.75" x14ac:dyDescent="0.4">
      <c r="A30" s="192"/>
    </row>
    <row r="31" spans="1:1" ht="18.75" x14ac:dyDescent="0.4">
      <c r="A31" s="192"/>
    </row>
    <row r="32" spans="1:1" ht="18.75" x14ac:dyDescent="0.4">
      <c r="A32" s="194" t="s">
        <v>137</v>
      </c>
    </row>
    <row r="33" spans="1:1" ht="18.75" customHeight="1" x14ac:dyDescent="0.25">
      <c r="A33" s="349"/>
    </row>
    <row r="34" spans="1:1" ht="65.25" customHeight="1" thickBot="1" x14ac:dyDescent="0.3">
      <c r="A34" s="350"/>
    </row>
    <row r="35" spans="1:1" ht="18.75" x14ac:dyDescent="0.4">
      <c r="A35" s="49"/>
    </row>
    <row r="36" spans="1:1" ht="18.75" x14ac:dyDescent="0.4">
      <c r="A36" s="48"/>
    </row>
  </sheetData>
  <mergeCells count="1">
    <mergeCell ref="A33:A34"/>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4"/>
  <sheetViews>
    <sheetView workbookViewId="0">
      <selection activeCell="F14" sqref="F14"/>
    </sheetView>
  </sheetViews>
  <sheetFormatPr defaultRowHeight="15" x14ac:dyDescent="0.25"/>
  <cols>
    <col min="2" max="2" width="47.5703125" customWidth="1"/>
    <col min="3" max="3" width="28.5703125" customWidth="1"/>
    <col min="6" max="6" width="44.5703125" customWidth="1"/>
    <col min="9" max="9" width="21.140625" customWidth="1"/>
  </cols>
  <sheetData>
    <row r="1" spans="1:3" ht="35.25" customHeight="1" x14ac:dyDescent="0.3">
      <c r="A1" s="351" t="s">
        <v>544</v>
      </c>
      <c r="B1" s="351"/>
      <c r="C1" s="351"/>
    </row>
    <row r="2" spans="1:3" ht="15.75" x14ac:dyDescent="0.25">
      <c r="A2" s="352" t="s">
        <v>65</v>
      </c>
      <c r="B2" s="352"/>
      <c r="C2" s="352"/>
    </row>
    <row r="3" spans="1:3" ht="15.75" thickBot="1" x14ac:dyDescent="0.3">
      <c r="A3" s="1"/>
      <c r="B3" s="2"/>
      <c r="C3" s="3"/>
    </row>
    <row r="4" spans="1:3" ht="20.100000000000001" customHeight="1" thickTop="1" thickBot="1" x14ac:dyDescent="0.35">
      <c r="A4" s="4" t="s">
        <v>66</v>
      </c>
      <c r="B4" s="5" t="s">
        <v>67</v>
      </c>
      <c r="C4" s="6" t="s">
        <v>68</v>
      </c>
    </row>
    <row r="5" spans="1:3" ht="24.95" customHeight="1" thickTop="1" x14ac:dyDescent="0.25">
      <c r="A5" s="346" t="s">
        <v>567</v>
      </c>
      <c r="B5" s="347" t="s">
        <v>550</v>
      </c>
      <c r="C5" s="348"/>
    </row>
    <row r="6" spans="1:3" ht="24.95" customHeight="1" x14ac:dyDescent="0.25">
      <c r="A6" s="343" t="s">
        <v>69</v>
      </c>
      <c r="B6" s="344" t="s">
        <v>14</v>
      </c>
      <c r="C6" s="345"/>
    </row>
    <row r="7" spans="1:3" ht="24.95" customHeight="1" x14ac:dyDescent="0.25">
      <c r="A7" s="7" t="s">
        <v>70</v>
      </c>
      <c r="B7" s="8" t="s">
        <v>71</v>
      </c>
      <c r="C7" s="9"/>
    </row>
    <row r="8" spans="1:3" ht="24.95" customHeight="1" x14ac:dyDescent="0.25">
      <c r="A8" s="7" t="s">
        <v>72</v>
      </c>
      <c r="B8" s="8" t="s">
        <v>73</v>
      </c>
      <c r="C8" s="9"/>
    </row>
    <row r="9" spans="1:3" ht="24.95" customHeight="1" x14ac:dyDescent="0.25">
      <c r="A9" s="7" t="s">
        <v>74</v>
      </c>
      <c r="B9" s="8" t="s">
        <v>75</v>
      </c>
      <c r="C9" s="9"/>
    </row>
    <row r="10" spans="1:3" ht="24.95" customHeight="1" x14ac:dyDescent="0.25">
      <c r="A10" s="7" t="s">
        <v>76</v>
      </c>
      <c r="B10" s="8" t="s">
        <v>77</v>
      </c>
      <c r="C10" s="9"/>
    </row>
    <row r="11" spans="1:3" ht="24.95" customHeight="1" x14ac:dyDescent="0.25">
      <c r="A11" s="7" t="s">
        <v>78</v>
      </c>
      <c r="B11" s="8" t="s">
        <v>80</v>
      </c>
      <c r="C11" s="9"/>
    </row>
    <row r="12" spans="1:3" ht="24.95" customHeight="1" x14ac:dyDescent="0.25">
      <c r="A12" s="7" t="s">
        <v>79</v>
      </c>
      <c r="B12" s="8" t="s">
        <v>339</v>
      </c>
      <c r="C12" s="9"/>
    </row>
    <row r="13" spans="1:3" ht="24.95" customHeight="1" x14ac:dyDescent="0.25">
      <c r="A13" s="7" t="s">
        <v>81</v>
      </c>
      <c r="B13" s="8" t="s">
        <v>84</v>
      </c>
      <c r="C13" s="9"/>
    </row>
    <row r="14" spans="1:3" ht="24.95" customHeight="1" x14ac:dyDescent="0.25">
      <c r="A14" s="7" t="s">
        <v>83</v>
      </c>
      <c r="B14" s="8" t="s">
        <v>86</v>
      </c>
      <c r="C14" s="9"/>
    </row>
    <row r="15" spans="1:3" ht="24.95" customHeight="1" x14ac:dyDescent="0.25">
      <c r="A15" s="7" t="s">
        <v>85</v>
      </c>
      <c r="B15" s="8" t="s">
        <v>88</v>
      </c>
      <c r="C15" s="9"/>
    </row>
    <row r="16" spans="1:3" ht="24.95" customHeight="1" x14ac:dyDescent="0.25">
      <c r="A16" s="7" t="s">
        <v>87</v>
      </c>
      <c r="B16" s="8" t="s">
        <v>89</v>
      </c>
      <c r="C16" s="9"/>
    </row>
    <row r="17" spans="1:6" ht="24.95" customHeight="1" x14ac:dyDescent="0.25">
      <c r="A17" s="7" t="s">
        <v>246</v>
      </c>
      <c r="B17" s="8" t="s">
        <v>349</v>
      </c>
      <c r="C17" s="9"/>
    </row>
    <row r="18" spans="1:6" ht="24.95" customHeight="1" x14ac:dyDescent="0.25">
      <c r="A18" s="7" t="s">
        <v>252</v>
      </c>
      <c r="B18" s="8" t="s">
        <v>253</v>
      </c>
      <c r="C18" s="9"/>
      <c r="F18" s="40"/>
    </row>
    <row r="19" spans="1:6" ht="24.95" customHeight="1" x14ac:dyDescent="0.25">
      <c r="A19" s="7" t="s">
        <v>370</v>
      </c>
      <c r="B19" s="8" t="s">
        <v>254</v>
      </c>
      <c r="C19" s="9"/>
    </row>
    <row r="20" spans="1:6" ht="24.95" customHeight="1" thickBot="1" x14ac:dyDescent="0.3">
      <c r="A20" s="10"/>
      <c r="B20" s="11"/>
      <c r="C20" s="12"/>
      <c r="F20" s="40">
        <f>C21*3%</f>
        <v>0</v>
      </c>
    </row>
    <row r="21" spans="1:6" ht="24.95" customHeight="1" thickTop="1" x14ac:dyDescent="0.25">
      <c r="A21" s="180"/>
      <c r="B21" s="181" t="s">
        <v>275</v>
      </c>
      <c r="C21" s="182">
        <f>SUM(C6:C19)</f>
        <v>0</v>
      </c>
      <c r="F21" s="40">
        <f>C21*0.05</f>
        <v>0</v>
      </c>
    </row>
    <row r="22" spans="1:6" ht="24.95" customHeight="1" x14ac:dyDescent="0.25">
      <c r="A22" s="183"/>
      <c r="B22" s="184" t="s">
        <v>276</v>
      </c>
      <c r="C22" s="185">
        <f>C21*6%</f>
        <v>0</v>
      </c>
    </row>
    <row r="23" spans="1:6" ht="31.5" customHeight="1" thickBot="1" x14ac:dyDescent="0.3">
      <c r="A23" s="186"/>
      <c r="B23" s="187" t="s">
        <v>277</v>
      </c>
      <c r="C23" s="188">
        <f>C21+C22</f>
        <v>0</v>
      </c>
    </row>
    <row r="24" spans="1:6" ht="15.75" thickTop="1" x14ac:dyDescent="0.25"/>
  </sheetData>
  <mergeCells count="2">
    <mergeCell ref="A1:C1"/>
    <mergeCell ref="A2:C2"/>
  </mergeCells>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842"/>
  <sheetViews>
    <sheetView showGridLines="0" showWhiteSpace="0" view="pageBreakPreview" topLeftCell="A22" zoomScaleNormal="100" zoomScaleSheetLayoutView="100" workbookViewId="0">
      <selection activeCell="A26" sqref="A26"/>
    </sheetView>
  </sheetViews>
  <sheetFormatPr defaultRowHeight="12" x14ac:dyDescent="0.2"/>
  <cols>
    <col min="1" max="1" width="5.85546875" style="298" customWidth="1"/>
    <col min="2" max="2" width="37.28515625" style="13" customWidth="1"/>
    <col min="3" max="3" width="4.7109375" style="14" customWidth="1"/>
    <col min="4" max="4" width="9.140625" style="15" customWidth="1"/>
    <col min="5" max="5" width="11.85546875" style="233" customWidth="1"/>
    <col min="6" max="6" width="11.5703125" style="229" customWidth="1"/>
    <col min="7" max="7" width="12.42578125" style="229" customWidth="1"/>
    <col min="8" max="8" width="4.5703125" style="13" customWidth="1"/>
    <col min="9" max="9" width="14.42578125" style="13" customWidth="1"/>
    <col min="10" max="10" width="9.140625" style="13" customWidth="1"/>
    <col min="11" max="11" width="9" style="13" customWidth="1"/>
    <col min="12" max="12" width="9.42578125" style="13" customWidth="1"/>
    <col min="13" max="13" width="11.28515625" style="13" customWidth="1"/>
    <col min="14" max="14" width="9.28515625" style="13" customWidth="1"/>
    <col min="15" max="15" width="7.7109375" style="13" customWidth="1"/>
    <col min="16" max="16384" width="9.140625" style="13"/>
  </cols>
  <sheetData>
    <row r="1" spans="1:10" s="24" customFormat="1" ht="15.75" x14ac:dyDescent="0.25">
      <c r="A1" s="353" t="s">
        <v>543</v>
      </c>
      <c r="B1" s="353"/>
      <c r="C1" s="353"/>
      <c r="D1" s="353"/>
      <c r="E1" s="353"/>
      <c r="F1" s="353"/>
      <c r="G1" s="353"/>
    </row>
    <row r="2" spans="1:10" ht="12.75" thickBot="1" x14ac:dyDescent="0.25">
      <c r="E2" s="354"/>
      <c r="F2" s="354"/>
      <c r="G2" s="354"/>
    </row>
    <row r="3" spans="1:10" s="16" customFormat="1" ht="12.75" thickBot="1" x14ac:dyDescent="0.3">
      <c r="A3" s="299" t="s">
        <v>0</v>
      </c>
      <c r="B3" s="150" t="s">
        <v>1</v>
      </c>
      <c r="C3" s="150" t="s">
        <v>2</v>
      </c>
      <c r="D3" s="151" t="s">
        <v>3</v>
      </c>
      <c r="E3" s="151" t="s">
        <v>4</v>
      </c>
      <c r="F3" s="151" t="s">
        <v>5</v>
      </c>
      <c r="G3" s="151" t="s">
        <v>6</v>
      </c>
    </row>
    <row r="4" spans="1:10" s="16" customFormat="1" x14ac:dyDescent="0.2">
      <c r="A4" s="300"/>
      <c r="B4" s="152"/>
      <c r="C4" s="153"/>
      <c r="D4" s="154"/>
      <c r="E4" s="196"/>
      <c r="F4" s="197"/>
      <c r="G4" s="198"/>
      <c r="I4" s="37"/>
      <c r="J4" s="36"/>
    </row>
    <row r="5" spans="1:10" s="16" customFormat="1" x14ac:dyDescent="0.2">
      <c r="A5" s="129"/>
      <c r="B5" s="67" t="s">
        <v>550</v>
      </c>
      <c r="C5" s="68"/>
      <c r="D5" s="69"/>
      <c r="E5" s="196"/>
      <c r="F5" s="197"/>
      <c r="G5" s="198"/>
    </row>
    <row r="6" spans="1:10" s="16" customFormat="1" x14ac:dyDescent="0.2">
      <c r="A6" s="129"/>
      <c r="B6" s="155"/>
      <c r="C6" s="68"/>
      <c r="D6" s="69"/>
      <c r="E6" s="196"/>
      <c r="F6" s="197"/>
      <c r="G6" s="198"/>
    </row>
    <row r="7" spans="1:10" s="16" customFormat="1" x14ac:dyDescent="0.2">
      <c r="A7" s="129" t="s">
        <v>567</v>
      </c>
      <c r="B7" s="70" t="s">
        <v>551</v>
      </c>
      <c r="C7" s="68"/>
      <c r="D7" s="69"/>
      <c r="E7" s="196"/>
      <c r="F7" s="197"/>
      <c r="G7" s="198"/>
    </row>
    <row r="8" spans="1:10" s="16" customFormat="1" ht="36" x14ac:dyDescent="0.2">
      <c r="A8" s="301"/>
      <c r="B8" s="74" t="s">
        <v>552</v>
      </c>
      <c r="C8" s="68"/>
      <c r="D8" s="69"/>
      <c r="E8" s="196"/>
      <c r="F8" s="197"/>
      <c r="G8" s="198"/>
    </row>
    <row r="9" spans="1:10" s="16" customFormat="1" ht="24" x14ac:dyDescent="0.2">
      <c r="A9" s="129"/>
      <c r="B9" s="74" t="s">
        <v>553</v>
      </c>
      <c r="C9" s="68"/>
      <c r="D9" s="69"/>
      <c r="E9" s="196"/>
      <c r="F9" s="197"/>
      <c r="G9" s="198"/>
    </row>
    <row r="10" spans="1:10" s="16" customFormat="1" ht="120" x14ac:dyDescent="0.2">
      <c r="A10" s="129"/>
      <c r="B10" s="74" t="s">
        <v>554</v>
      </c>
      <c r="C10" s="68"/>
      <c r="D10" s="69"/>
      <c r="E10" s="196"/>
      <c r="F10" s="197"/>
      <c r="G10" s="198"/>
    </row>
    <row r="11" spans="1:10" s="16" customFormat="1" ht="156" x14ac:dyDescent="0.2">
      <c r="A11" s="129"/>
      <c r="B11" s="74" t="s">
        <v>555</v>
      </c>
      <c r="C11" s="68"/>
      <c r="D11" s="69"/>
      <c r="E11" s="196"/>
      <c r="F11" s="197"/>
      <c r="G11" s="198"/>
    </row>
    <row r="12" spans="1:10" s="16" customFormat="1" ht="60" x14ac:dyDescent="0.2">
      <c r="A12" s="129"/>
      <c r="B12" s="74" t="s">
        <v>556</v>
      </c>
      <c r="C12" s="68"/>
      <c r="D12" s="69"/>
      <c r="E12" s="196"/>
      <c r="F12" s="197"/>
      <c r="G12" s="198"/>
    </row>
    <row r="13" spans="1:10" s="16" customFormat="1" x14ac:dyDescent="0.2">
      <c r="A13" s="129"/>
      <c r="B13" s="100"/>
      <c r="C13" s="68"/>
      <c r="D13" s="69"/>
      <c r="E13" s="196"/>
      <c r="F13" s="197"/>
      <c r="G13" s="198"/>
    </row>
    <row r="14" spans="1:10" s="16" customFormat="1" x14ac:dyDescent="0.2">
      <c r="A14" s="129"/>
      <c r="B14" s="70" t="s">
        <v>557</v>
      </c>
      <c r="C14" s="68"/>
      <c r="D14" s="69"/>
      <c r="E14" s="196"/>
      <c r="F14" s="197"/>
      <c r="G14" s="198"/>
    </row>
    <row r="15" spans="1:10" s="16" customFormat="1" ht="168" x14ac:dyDescent="0.2">
      <c r="A15" s="129"/>
      <c r="B15" s="86" t="s">
        <v>558</v>
      </c>
      <c r="C15" s="68"/>
      <c r="D15" s="69"/>
      <c r="E15" s="196"/>
      <c r="F15" s="197"/>
      <c r="G15" s="198"/>
    </row>
    <row r="16" spans="1:10" s="16" customFormat="1" x14ac:dyDescent="0.2">
      <c r="A16" s="129"/>
      <c r="B16" s="100"/>
      <c r="C16" s="68"/>
      <c r="D16" s="69"/>
      <c r="E16" s="196"/>
      <c r="F16" s="197"/>
      <c r="G16" s="198"/>
    </row>
    <row r="17" spans="1:10" s="16" customFormat="1" x14ac:dyDescent="0.2">
      <c r="A17" s="129"/>
      <c r="B17" s="70" t="s">
        <v>559</v>
      </c>
      <c r="C17" s="68"/>
      <c r="D17" s="69"/>
      <c r="E17" s="196"/>
      <c r="F17" s="197"/>
      <c r="G17" s="198"/>
    </row>
    <row r="18" spans="1:10" s="16" customFormat="1" ht="120" x14ac:dyDescent="0.2">
      <c r="A18" s="129"/>
      <c r="B18" s="86" t="s">
        <v>560</v>
      </c>
      <c r="C18" s="68"/>
      <c r="D18" s="69"/>
      <c r="E18" s="196"/>
      <c r="F18" s="197"/>
      <c r="G18" s="198"/>
    </row>
    <row r="19" spans="1:10" s="16" customFormat="1" x14ac:dyDescent="0.2">
      <c r="A19" s="129"/>
      <c r="B19" s="70" t="s">
        <v>561</v>
      </c>
      <c r="C19" s="68"/>
      <c r="D19" s="69"/>
      <c r="E19" s="196"/>
      <c r="F19" s="197"/>
      <c r="G19" s="198"/>
    </row>
    <row r="20" spans="1:10" s="16" customFormat="1" ht="156" x14ac:dyDescent="0.2">
      <c r="A20" s="129"/>
      <c r="B20" s="86" t="s">
        <v>562</v>
      </c>
      <c r="C20" s="68"/>
      <c r="D20" s="69"/>
      <c r="E20" s="196"/>
      <c r="F20" s="197"/>
      <c r="G20" s="198"/>
    </row>
    <row r="21" spans="1:10" s="16" customFormat="1" ht="132" x14ac:dyDescent="0.2">
      <c r="A21" s="129"/>
      <c r="B21" s="86" t="s">
        <v>563</v>
      </c>
      <c r="C21" s="68"/>
      <c r="D21" s="69"/>
      <c r="E21" s="196"/>
      <c r="F21" s="197"/>
      <c r="G21" s="198"/>
    </row>
    <row r="22" spans="1:10" s="16" customFormat="1" ht="60" x14ac:dyDescent="0.2">
      <c r="A22" s="129"/>
      <c r="B22" s="86" t="s">
        <v>564</v>
      </c>
      <c r="C22" s="68"/>
      <c r="D22" s="69"/>
      <c r="E22" s="196"/>
      <c r="F22" s="197"/>
      <c r="G22" s="198"/>
    </row>
    <row r="23" spans="1:10" s="16" customFormat="1" ht="120" x14ac:dyDescent="0.2">
      <c r="A23" s="129"/>
      <c r="B23" s="86" t="s">
        <v>565</v>
      </c>
      <c r="C23" s="68"/>
      <c r="D23" s="69"/>
      <c r="E23" s="196"/>
      <c r="F23" s="197"/>
      <c r="G23" s="198"/>
    </row>
    <row r="24" spans="1:10" s="16" customFormat="1" ht="60" x14ac:dyDescent="0.2">
      <c r="A24" s="129"/>
      <c r="B24" s="86" t="s">
        <v>566</v>
      </c>
      <c r="C24" s="68"/>
      <c r="D24" s="69"/>
      <c r="E24" s="196"/>
      <c r="F24" s="197"/>
      <c r="G24" s="198"/>
    </row>
    <row r="25" spans="1:10" s="16" customFormat="1" x14ac:dyDescent="0.2">
      <c r="A25" s="301"/>
      <c r="B25" s="66"/>
      <c r="C25" s="51"/>
      <c r="D25" s="52"/>
      <c r="E25" s="196"/>
      <c r="F25" s="197"/>
      <c r="G25" s="198"/>
    </row>
    <row r="26" spans="1:10" s="16" customFormat="1" x14ac:dyDescent="0.2">
      <c r="A26" s="301"/>
      <c r="B26" s="66"/>
      <c r="C26" s="51"/>
      <c r="D26" s="52"/>
      <c r="E26" s="196"/>
      <c r="F26" s="197"/>
      <c r="G26" s="198"/>
    </row>
    <row r="27" spans="1:10" s="16" customFormat="1" ht="12.75" thickBot="1" x14ac:dyDescent="0.25">
      <c r="A27" s="301"/>
      <c r="B27" s="66"/>
      <c r="C27" s="51"/>
      <c r="D27" s="52"/>
      <c r="E27" s="196"/>
      <c r="F27" s="197"/>
      <c r="G27" s="198"/>
    </row>
    <row r="28" spans="1:10" s="16" customFormat="1" x14ac:dyDescent="0.2">
      <c r="A28" s="303"/>
      <c r="B28" s="160" t="s">
        <v>550</v>
      </c>
      <c r="C28" s="161"/>
      <c r="D28" s="162"/>
      <c r="E28" s="162"/>
      <c r="F28" s="162"/>
      <c r="G28" s="162"/>
    </row>
    <row r="29" spans="1:10" s="16" customFormat="1" ht="12.75" thickBot="1" x14ac:dyDescent="0.25">
      <c r="A29" s="304"/>
      <c r="B29" s="163"/>
      <c r="C29" s="164"/>
      <c r="D29" s="165"/>
      <c r="E29" s="262"/>
      <c r="F29" s="263"/>
      <c r="G29" s="264"/>
    </row>
    <row r="30" spans="1:10" s="16" customFormat="1" x14ac:dyDescent="0.2">
      <c r="A30" s="300"/>
      <c r="B30" s="152" t="s">
        <v>13</v>
      </c>
      <c r="C30" s="153"/>
      <c r="D30" s="154"/>
      <c r="E30" s="196"/>
      <c r="F30" s="197"/>
      <c r="G30" s="198"/>
      <c r="I30" s="37"/>
      <c r="J30" s="36"/>
    </row>
    <row r="31" spans="1:10" s="16" customFormat="1" x14ac:dyDescent="0.2">
      <c r="A31" s="129"/>
      <c r="B31" s="67" t="s">
        <v>14</v>
      </c>
      <c r="C31" s="68"/>
      <c r="D31" s="69"/>
      <c r="E31" s="196"/>
      <c r="F31" s="197"/>
      <c r="G31" s="198"/>
    </row>
    <row r="32" spans="1:10" s="16" customFormat="1" x14ac:dyDescent="0.2">
      <c r="A32" s="129"/>
      <c r="B32" s="155"/>
      <c r="C32" s="68"/>
      <c r="D32" s="69"/>
      <c r="E32" s="196"/>
      <c r="F32" s="197"/>
      <c r="G32" s="198"/>
    </row>
    <row r="33" spans="1:7" s="16" customFormat="1" x14ac:dyDescent="0.2">
      <c r="A33" s="129" t="s">
        <v>381</v>
      </c>
      <c r="B33" s="70" t="s">
        <v>15</v>
      </c>
      <c r="C33" s="68"/>
      <c r="D33" s="69"/>
      <c r="E33" s="196"/>
      <c r="F33" s="197"/>
      <c r="G33" s="198"/>
    </row>
    <row r="34" spans="1:7" s="16" customFormat="1" x14ac:dyDescent="0.2">
      <c r="A34" s="301" t="s">
        <v>135</v>
      </c>
      <c r="B34" s="156" t="s">
        <v>16</v>
      </c>
      <c r="C34" s="68"/>
      <c r="D34" s="69"/>
      <c r="E34" s="196"/>
      <c r="F34" s="197"/>
      <c r="G34" s="198"/>
    </row>
    <row r="35" spans="1:7" s="16" customFormat="1" x14ac:dyDescent="0.2">
      <c r="A35" s="129"/>
      <c r="B35" s="100" t="s">
        <v>17</v>
      </c>
      <c r="C35" s="68"/>
      <c r="D35" s="69"/>
      <c r="E35" s="196"/>
      <c r="F35" s="197"/>
      <c r="G35" s="198"/>
    </row>
    <row r="36" spans="1:7" s="16" customFormat="1" x14ac:dyDescent="0.2">
      <c r="A36" s="129"/>
      <c r="B36" s="100" t="s">
        <v>18</v>
      </c>
      <c r="C36" s="68"/>
      <c r="D36" s="69"/>
      <c r="E36" s="196"/>
      <c r="F36" s="197"/>
      <c r="G36" s="198"/>
    </row>
    <row r="37" spans="1:7" s="16" customFormat="1" x14ac:dyDescent="0.2">
      <c r="A37" s="129"/>
      <c r="B37" s="100" t="s">
        <v>19</v>
      </c>
      <c r="C37" s="68"/>
      <c r="D37" s="69"/>
      <c r="E37" s="196"/>
      <c r="F37" s="197"/>
      <c r="G37" s="198"/>
    </row>
    <row r="38" spans="1:7" s="16" customFormat="1" x14ac:dyDescent="0.2">
      <c r="A38" s="129"/>
      <c r="B38" s="100" t="s">
        <v>20</v>
      </c>
      <c r="C38" s="68"/>
      <c r="D38" s="69"/>
      <c r="E38" s="196"/>
      <c r="F38" s="197"/>
      <c r="G38" s="198"/>
    </row>
    <row r="39" spans="1:7" s="16" customFormat="1" x14ac:dyDescent="0.2">
      <c r="A39" s="129"/>
      <c r="B39" s="100" t="s">
        <v>17</v>
      </c>
      <c r="C39" s="68"/>
      <c r="D39" s="69"/>
      <c r="E39" s="196"/>
      <c r="F39" s="197"/>
      <c r="G39" s="198"/>
    </row>
    <row r="40" spans="1:7" s="16" customFormat="1" x14ac:dyDescent="0.2">
      <c r="A40" s="129"/>
      <c r="B40" s="100" t="s">
        <v>21</v>
      </c>
      <c r="C40" s="68"/>
      <c r="D40" s="69"/>
      <c r="E40" s="196"/>
      <c r="F40" s="197"/>
      <c r="G40" s="198"/>
    </row>
    <row r="41" spans="1:7" s="16" customFormat="1" x14ac:dyDescent="0.2">
      <c r="A41" s="129"/>
      <c r="B41" s="100" t="s">
        <v>22</v>
      </c>
      <c r="C41" s="68"/>
      <c r="D41" s="69"/>
      <c r="E41" s="196"/>
      <c r="F41" s="197"/>
      <c r="G41" s="198"/>
    </row>
    <row r="42" spans="1:7" s="16" customFormat="1" x14ac:dyDescent="0.2">
      <c r="A42" s="129"/>
      <c r="B42" s="100" t="s">
        <v>23</v>
      </c>
      <c r="C42" s="68"/>
      <c r="D42" s="69"/>
      <c r="E42" s="196"/>
      <c r="F42" s="197"/>
      <c r="G42" s="198"/>
    </row>
    <row r="43" spans="1:7" s="16" customFormat="1" x14ac:dyDescent="0.2">
      <c r="A43" s="129"/>
      <c r="B43" s="100" t="s">
        <v>24</v>
      </c>
      <c r="C43" s="68"/>
      <c r="D43" s="69"/>
      <c r="E43" s="196"/>
      <c r="F43" s="197"/>
      <c r="G43" s="198"/>
    </row>
    <row r="44" spans="1:7" s="16" customFormat="1" x14ac:dyDescent="0.2">
      <c r="A44" s="129"/>
      <c r="B44" s="100" t="s">
        <v>25</v>
      </c>
      <c r="C44" s="68"/>
      <c r="D44" s="69"/>
      <c r="E44" s="196"/>
      <c r="F44" s="197"/>
      <c r="G44" s="198"/>
    </row>
    <row r="45" spans="1:7" s="16" customFormat="1" x14ac:dyDescent="0.2">
      <c r="A45" s="129"/>
      <c r="B45" s="100" t="s">
        <v>26</v>
      </c>
      <c r="C45" s="68"/>
      <c r="D45" s="69"/>
      <c r="E45" s="196"/>
      <c r="F45" s="197"/>
      <c r="G45" s="198"/>
    </row>
    <row r="46" spans="1:7" s="16" customFormat="1" x14ac:dyDescent="0.2">
      <c r="A46" s="129"/>
      <c r="B46" s="100"/>
      <c r="C46" s="68"/>
      <c r="D46" s="69"/>
      <c r="E46" s="196"/>
      <c r="F46" s="197"/>
      <c r="G46" s="198"/>
    </row>
    <row r="47" spans="1:7" s="16" customFormat="1" x14ac:dyDescent="0.2">
      <c r="A47" s="301" t="s">
        <v>382</v>
      </c>
      <c r="B47" s="112" t="s">
        <v>27</v>
      </c>
      <c r="C47" s="51"/>
      <c r="D47" s="52"/>
      <c r="E47" s="196"/>
      <c r="F47" s="197"/>
      <c r="G47" s="198"/>
    </row>
    <row r="48" spans="1:7" s="16" customFormat="1" ht="60.75" customHeight="1" x14ac:dyDescent="0.2">
      <c r="A48" s="129" t="s">
        <v>135</v>
      </c>
      <c r="B48" s="74" t="s">
        <v>181</v>
      </c>
      <c r="C48" s="51" t="s">
        <v>0</v>
      </c>
      <c r="D48" s="52">
        <v>1</v>
      </c>
      <c r="E48" s="196"/>
      <c r="F48" s="199"/>
      <c r="G48" s="200"/>
    </row>
    <row r="49" spans="1:7" s="16" customFormat="1" x14ac:dyDescent="0.2">
      <c r="A49" s="301"/>
      <c r="B49" s="74"/>
      <c r="C49" s="51"/>
      <c r="D49" s="52"/>
      <c r="E49" s="196"/>
      <c r="F49" s="199"/>
      <c r="G49" s="200"/>
    </row>
    <row r="50" spans="1:7" s="16" customFormat="1" x14ac:dyDescent="0.2">
      <c r="A50" s="129" t="s">
        <v>383</v>
      </c>
      <c r="B50" s="112" t="s">
        <v>28</v>
      </c>
      <c r="C50" s="51"/>
      <c r="D50" s="52"/>
      <c r="E50" s="196"/>
      <c r="F50" s="199"/>
      <c r="G50" s="200"/>
    </row>
    <row r="51" spans="1:7" s="16" customFormat="1" x14ac:dyDescent="0.2">
      <c r="A51" s="129" t="s">
        <v>135</v>
      </c>
      <c r="B51" s="157" t="s">
        <v>29</v>
      </c>
      <c r="C51" s="51" t="s">
        <v>12</v>
      </c>
      <c r="D51" s="52">
        <v>1</v>
      </c>
      <c r="E51" s="196"/>
      <c r="F51" s="199"/>
      <c r="G51" s="200"/>
    </row>
    <row r="52" spans="1:7" s="16" customFormat="1" x14ac:dyDescent="0.2">
      <c r="A52" s="129"/>
      <c r="B52" s="157"/>
      <c r="C52" s="51"/>
      <c r="D52" s="52"/>
      <c r="E52" s="196"/>
      <c r="F52" s="199"/>
      <c r="G52" s="200"/>
    </row>
    <row r="53" spans="1:7" s="16" customFormat="1" x14ac:dyDescent="0.2">
      <c r="A53" s="129" t="s">
        <v>384</v>
      </c>
      <c r="B53" s="158" t="s">
        <v>133</v>
      </c>
      <c r="C53" s="51"/>
      <c r="D53" s="52"/>
      <c r="E53" s="196"/>
      <c r="F53" s="199"/>
      <c r="G53" s="200"/>
    </row>
    <row r="54" spans="1:7" s="16" customFormat="1" ht="39.75" customHeight="1" x14ac:dyDescent="0.2">
      <c r="A54" s="129" t="s">
        <v>135</v>
      </c>
      <c r="B54" s="89" t="s">
        <v>206</v>
      </c>
      <c r="C54" s="51" t="s">
        <v>0</v>
      </c>
      <c r="D54" s="52">
        <v>1</v>
      </c>
      <c r="E54" s="196"/>
      <c r="F54" s="199"/>
      <c r="G54" s="200"/>
    </row>
    <row r="55" spans="1:7" s="16" customFormat="1" x14ac:dyDescent="0.2">
      <c r="A55" s="129"/>
      <c r="B55" s="157"/>
      <c r="C55" s="51"/>
      <c r="D55" s="52"/>
      <c r="E55" s="196"/>
      <c r="F55" s="199"/>
      <c r="G55" s="200"/>
    </row>
    <row r="56" spans="1:7" s="16" customFormat="1" x14ac:dyDescent="0.2">
      <c r="A56" s="302" t="s">
        <v>385</v>
      </c>
      <c r="B56" s="159" t="s">
        <v>30</v>
      </c>
      <c r="C56" s="51"/>
      <c r="D56" s="52"/>
      <c r="E56" s="196"/>
      <c r="F56" s="199"/>
      <c r="G56" s="200"/>
    </row>
    <row r="57" spans="1:7" s="16" customFormat="1" ht="27.75" customHeight="1" x14ac:dyDescent="0.2">
      <c r="A57" s="129" t="s">
        <v>135</v>
      </c>
      <c r="B57" s="66" t="s">
        <v>31</v>
      </c>
      <c r="C57" s="51" t="s">
        <v>0</v>
      </c>
      <c r="D57" s="52">
        <v>1</v>
      </c>
      <c r="E57" s="196"/>
      <c r="F57" s="199"/>
      <c r="G57" s="200"/>
    </row>
    <row r="58" spans="1:7" s="16" customFormat="1" x14ac:dyDescent="0.2">
      <c r="A58" s="301"/>
      <c r="B58" s="66"/>
      <c r="C58" s="51"/>
      <c r="D58" s="52"/>
      <c r="E58" s="196"/>
      <c r="F58" s="199"/>
      <c r="G58" s="200"/>
    </row>
    <row r="59" spans="1:7" s="16" customFormat="1" x14ac:dyDescent="0.2">
      <c r="A59" s="302" t="s">
        <v>386</v>
      </c>
      <c r="B59" s="159" t="s">
        <v>371</v>
      </c>
      <c r="C59" s="51"/>
      <c r="D59" s="52"/>
      <c r="E59" s="196"/>
      <c r="F59" s="199"/>
      <c r="G59" s="200"/>
    </row>
    <row r="60" spans="1:7" s="16" customFormat="1" x14ac:dyDescent="0.2">
      <c r="A60" s="129" t="s">
        <v>135</v>
      </c>
      <c r="B60" s="66" t="s">
        <v>372</v>
      </c>
      <c r="C60" s="51" t="s">
        <v>0</v>
      </c>
      <c r="D60" s="52">
        <v>1</v>
      </c>
      <c r="E60" s="196"/>
      <c r="F60" s="199"/>
      <c r="G60" s="200"/>
    </row>
    <row r="61" spans="1:7" s="16" customFormat="1" x14ac:dyDescent="0.2">
      <c r="A61" s="301"/>
      <c r="B61" s="66"/>
      <c r="C61" s="51"/>
      <c r="D61" s="52"/>
      <c r="E61" s="196"/>
      <c r="F61" s="199"/>
      <c r="G61" s="200"/>
    </row>
    <row r="62" spans="1:7" s="16" customFormat="1" x14ac:dyDescent="0.2">
      <c r="A62" s="301"/>
      <c r="B62" s="66"/>
      <c r="C62" s="51"/>
      <c r="D62" s="52"/>
      <c r="E62" s="196"/>
      <c r="F62" s="199"/>
      <c r="G62" s="200"/>
    </row>
    <row r="63" spans="1:7" s="16" customFormat="1" x14ac:dyDescent="0.2">
      <c r="A63" s="302" t="s">
        <v>387</v>
      </c>
      <c r="B63" s="159" t="s">
        <v>373</v>
      </c>
      <c r="C63" s="51"/>
      <c r="D63" s="52"/>
      <c r="E63" s="196"/>
      <c r="F63" s="199"/>
      <c r="G63" s="200"/>
    </row>
    <row r="64" spans="1:7" s="16" customFormat="1" x14ac:dyDescent="0.2">
      <c r="A64" s="129" t="s">
        <v>135</v>
      </c>
      <c r="B64" s="66" t="s">
        <v>374</v>
      </c>
      <c r="C64" s="51" t="s">
        <v>0</v>
      </c>
      <c r="D64" s="52">
        <v>1</v>
      </c>
      <c r="E64" s="196"/>
      <c r="F64" s="199"/>
      <c r="G64" s="200"/>
    </row>
    <row r="65" spans="1:7" s="16" customFormat="1" x14ac:dyDescent="0.2">
      <c r="A65" s="301"/>
      <c r="B65" s="66"/>
      <c r="C65" s="51"/>
      <c r="D65" s="52"/>
      <c r="E65" s="196"/>
      <c r="F65" s="199"/>
      <c r="G65" s="200"/>
    </row>
    <row r="66" spans="1:7" s="16" customFormat="1" x14ac:dyDescent="0.2">
      <c r="A66" s="301"/>
      <c r="B66" s="66"/>
      <c r="C66" s="51"/>
      <c r="D66" s="52"/>
      <c r="E66" s="196"/>
      <c r="F66" s="199"/>
      <c r="G66" s="200"/>
    </row>
    <row r="67" spans="1:7" s="16" customFormat="1" x14ac:dyDescent="0.2">
      <c r="A67" s="301"/>
      <c r="B67" s="66"/>
      <c r="C67" s="51"/>
      <c r="D67" s="51"/>
      <c r="E67" s="51"/>
      <c r="F67" s="51"/>
      <c r="G67" s="51"/>
    </row>
    <row r="68" spans="1:7" s="16" customFormat="1" x14ac:dyDescent="0.2">
      <c r="A68" s="301"/>
      <c r="B68" s="66"/>
      <c r="C68" s="51"/>
      <c r="D68" s="52"/>
      <c r="E68" s="196"/>
      <c r="F68" s="197"/>
      <c r="G68" s="198"/>
    </row>
    <row r="69" spans="1:7" s="16" customFormat="1" x14ac:dyDescent="0.2">
      <c r="A69" s="301"/>
      <c r="B69" s="66"/>
      <c r="C69" s="51"/>
      <c r="D69" s="52"/>
      <c r="E69" s="196"/>
      <c r="F69" s="197"/>
      <c r="G69" s="198"/>
    </row>
    <row r="70" spans="1:7" s="16" customFormat="1" x14ac:dyDescent="0.2">
      <c r="A70" s="301"/>
      <c r="B70" s="66"/>
      <c r="C70" s="51"/>
      <c r="D70" s="52"/>
      <c r="E70" s="196"/>
      <c r="F70" s="197"/>
      <c r="G70" s="198"/>
    </row>
    <row r="71" spans="1:7" s="16" customFormat="1" x14ac:dyDescent="0.2">
      <c r="A71" s="301"/>
      <c r="B71" s="66"/>
      <c r="C71" s="51"/>
      <c r="D71" s="52"/>
      <c r="E71" s="196"/>
      <c r="F71" s="197"/>
      <c r="G71" s="198"/>
    </row>
    <row r="72" spans="1:7" s="16" customFormat="1" x14ac:dyDescent="0.2">
      <c r="A72" s="301"/>
      <c r="B72" s="66"/>
      <c r="C72" s="51"/>
      <c r="D72" s="52"/>
      <c r="E72" s="196"/>
      <c r="F72" s="197"/>
      <c r="G72" s="198"/>
    </row>
    <row r="73" spans="1:7" s="16" customFormat="1" x14ac:dyDescent="0.2">
      <c r="A73" s="301"/>
      <c r="B73" s="66"/>
      <c r="C73" s="51"/>
      <c r="D73" s="52"/>
      <c r="E73" s="196"/>
      <c r="F73" s="197"/>
      <c r="G73" s="198"/>
    </row>
    <row r="74" spans="1:7" s="16" customFormat="1" x14ac:dyDescent="0.2">
      <c r="A74" s="301"/>
      <c r="B74" s="66"/>
      <c r="C74" s="51"/>
      <c r="D74" s="52"/>
      <c r="E74" s="196"/>
      <c r="F74" s="197"/>
      <c r="G74" s="198"/>
    </row>
    <row r="75" spans="1:7" s="16" customFormat="1" x14ac:dyDescent="0.2">
      <c r="A75" s="301"/>
      <c r="B75" s="66"/>
      <c r="C75" s="51"/>
      <c r="D75" s="52"/>
      <c r="E75" s="196"/>
      <c r="F75" s="197"/>
      <c r="G75" s="198"/>
    </row>
    <row r="76" spans="1:7" s="16" customFormat="1" x14ac:dyDescent="0.2">
      <c r="A76" s="301"/>
      <c r="B76" s="66"/>
      <c r="C76" s="51"/>
      <c r="D76" s="52"/>
      <c r="E76" s="196"/>
      <c r="F76" s="197"/>
      <c r="G76" s="198"/>
    </row>
    <row r="77" spans="1:7" s="16" customFormat="1" ht="12.75" thickBot="1" x14ac:dyDescent="0.25">
      <c r="A77" s="301"/>
      <c r="B77" s="66"/>
      <c r="C77" s="51"/>
      <c r="D77" s="52"/>
      <c r="E77" s="196"/>
      <c r="F77" s="197"/>
      <c r="G77" s="198"/>
    </row>
    <row r="78" spans="1:7" s="16" customFormat="1" x14ac:dyDescent="0.2">
      <c r="A78" s="303"/>
      <c r="B78" s="160" t="s">
        <v>32</v>
      </c>
      <c r="C78" s="161"/>
      <c r="D78" s="162"/>
      <c r="E78" s="162"/>
      <c r="F78" s="162"/>
      <c r="G78" s="162"/>
    </row>
    <row r="79" spans="1:7" s="16" customFormat="1" ht="12.75" thickBot="1" x14ac:dyDescent="0.25">
      <c r="A79" s="304"/>
      <c r="B79" s="163" t="s">
        <v>33</v>
      </c>
      <c r="C79" s="164"/>
      <c r="D79" s="165"/>
      <c r="E79" s="262"/>
      <c r="F79" s="263"/>
      <c r="G79" s="264"/>
    </row>
    <row r="80" spans="1:7" s="16" customFormat="1" x14ac:dyDescent="0.2">
      <c r="A80" s="129"/>
      <c r="B80" s="116"/>
      <c r="C80" s="122"/>
      <c r="D80" s="52"/>
      <c r="E80" s="196"/>
      <c r="F80" s="197"/>
      <c r="G80" s="198"/>
    </row>
    <row r="81" spans="1:18" s="16" customFormat="1" x14ac:dyDescent="0.2">
      <c r="A81" s="129"/>
      <c r="B81" s="67" t="s">
        <v>34</v>
      </c>
      <c r="C81" s="68"/>
      <c r="D81" s="69"/>
      <c r="E81" s="196"/>
      <c r="F81" s="197"/>
      <c r="G81" s="198"/>
    </row>
    <row r="82" spans="1:18" s="16" customFormat="1" x14ac:dyDescent="0.2">
      <c r="A82" s="129"/>
      <c r="B82" s="67" t="s">
        <v>35</v>
      </c>
      <c r="C82" s="68"/>
      <c r="D82" s="69"/>
      <c r="E82" s="196"/>
      <c r="F82" s="197"/>
      <c r="G82" s="198"/>
    </row>
    <row r="83" spans="1:18" s="16" customFormat="1" x14ac:dyDescent="0.2">
      <c r="A83" s="129" t="s">
        <v>388</v>
      </c>
      <c r="B83" s="70" t="s">
        <v>36</v>
      </c>
      <c r="C83" s="68"/>
      <c r="D83" s="69"/>
      <c r="E83" s="196"/>
      <c r="F83" s="197"/>
      <c r="G83" s="198"/>
    </row>
    <row r="84" spans="1:18" s="16" customFormat="1" ht="65.25" customHeight="1" x14ac:dyDescent="0.2">
      <c r="A84" s="129"/>
      <c r="B84" s="71" t="s">
        <v>182</v>
      </c>
      <c r="C84" s="72"/>
      <c r="D84" s="72"/>
      <c r="E84" s="201"/>
      <c r="F84" s="201"/>
      <c r="G84" s="202"/>
    </row>
    <row r="85" spans="1:18" s="16" customFormat="1" x14ac:dyDescent="0.25">
      <c r="A85" s="305"/>
      <c r="B85" s="30"/>
      <c r="C85" s="30"/>
      <c r="D85" s="31"/>
      <c r="E85" s="203"/>
      <c r="F85" s="204"/>
      <c r="G85" s="205"/>
    </row>
    <row r="86" spans="1:18" s="16" customFormat="1" x14ac:dyDescent="0.2">
      <c r="A86" s="129" t="s">
        <v>389</v>
      </c>
      <c r="B86" s="73" t="s">
        <v>52</v>
      </c>
      <c r="C86" s="51"/>
      <c r="D86" s="62"/>
      <c r="E86" s="206"/>
      <c r="F86" s="199"/>
      <c r="G86" s="200"/>
    </row>
    <row r="87" spans="1:18" s="16" customFormat="1" ht="48.75" customHeight="1" x14ac:dyDescent="0.2">
      <c r="A87" s="129"/>
      <c r="B87" s="74" t="s">
        <v>53</v>
      </c>
      <c r="C87" s="51" t="s">
        <v>39</v>
      </c>
      <c r="D87" s="75">
        <v>460</v>
      </c>
      <c r="E87" s="196"/>
      <c r="F87" s="199"/>
      <c r="G87" s="200"/>
      <c r="I87" s="16">
        <f>20.4*13.675</f>
        <v>278.96999999999997</v>
      </c>
    </row>
    <row r="88" spans="1:18" s="16" customFormat="1" x14ac:dyDescent="0.2">
      <c r="A88" s="129"/>
      <c r="B88" s="74"/>
      <c r="C88" s="51"/>
      <c r="D88" s="75"/>
      <c r="E88" s="196"/>
      <c r="F88" s="199"/>
      <c r="G88" s="200"/>
    </row>
    <row r="89" spans="1:18" s="16" customFormat="1" x14ac:dyDescent="0.2">
      <c r="A89" s="129" t="s">
        <v>390</v>
      </c>
      <c r="B89" s="76" t="s">
        <v>37</v>
      </c>
      <c r="C89" s="51"/>
      <c r="D89" s="77"/>
      <c r="E89" s="196"/>
      <c r="F89" s="199"/>
      <c r="G89" s="200"/>
    </row>
    <row r="90" spans="1:18" s="16" customFormat="1" ht="51" customHeight="1" x14ac:dyDescent="0.2">
      <c r="A90" s="129"/>
      <c r="B90" s="78" t="s">
        <v>38</v>
      </c>
      <c r="C90" s="51" t="s">
        <v>39</v>
      </c>
      <c r="D90" s="75">
        <v>354.81599999999997</v>
      </c>
      <c r="E90" s="196"/>
      <c r="F90" s="199"/>
      <c r="G90" s="200"/>
      <c r="I90" s="16">
        <f>16.336*8.75</f>
        <v>142.94</v>
      </c>
    </row>
    <row r="91" spans="1:18" s="16" customFormat="1" x14ac:dyDescent="0.2">
      <c r="A91" s="129"/>
      <c r="B91" s="79"/>
      <c r="C91" s="51"/>
      <c r="D91" s="52"/>
      <c r="E91" s="196"/>
      <c r="F91" s="199"/>
      <c r="G91" s="200"/>
    </row>
    <row r="92" spans="1:18" s="16" customFormat="1" x14ac:dyDescent="0.2">
      <c r="A92" s="129" t="s">
        <v>391</v>
      </c>
      <c r="B92" s="56" t="s">
        <v>40</v>
      </c>
      <c r="C92" s="51"/>
      <c r="D92" s="52"/>
      <c r="E92" s="196"/>
      <c r="F92" s="199"/>
      <c r="G92" s="200"/>
    </row>
    <row r="93" spans="1:18" s="16" customFormat="1" ht="50.25" customHeight="1" x14ac:dyDescent="0.2">
      <c r="A93" s="306"/>
      <c r="B93" s="80" t="s">
        <v>380</v>
      </c>
      <c r="C93" s="81"/>
      <c r="D93" s="81"/>
      <c r="E93" s="207"/>
      <c r="F93" s="199"/>
      <c r="G93" s="200"/>
      <c r="I93" s="16">
        <f>1.1*1.1*6</f>
        <v>7.2600000000000016</v>
      </c>
      <c r="J93" s="16">
        <f>1.45*1.45*8</f>
        <v>16.82</v>
      </c>
      <c r="K93" s="16">
        <f>1.35*1.35*11</f>
        <v>20.047500000000003</v>
      </c>
      <c r="L93" s="16">
        <f>1.2*1.2*4</f>
        <v>5.76</v>
      </c>
      <c r="M93" s="16">
        <f>0.9*0.9*2</f>
        <v>1.62</v>
      </c>
      <c r="N93" s="16">
        <f>1.25*1.25*4</f>
        <v>6.25</v>
      </c>
      <c r="O93" s="16">
        <f>1.95*1.95*4</f>
        <v>15.209999999999999</v>
      </c>
      <c r="P93" s="16">
        <f>2.05*2.05*4</f>
        <v>16.809999999999999</v>
      </c>
      <c r="Q93" s="16">
        <f>SUM(I92:P93)</f>
        <v>89.777500000000003</v>
      </c>
      <c r="R93" s="16">
        <f>Q93*1.25</f>
        <v>112.22187500000001</v>
      </c>
    </row>
    <row r="94" spans="1:18" s="16" customFormat="1" ht="12.75" customHeight="1" x14ac:dyDescent="0.25">
      <c r="A94" s="129" t="s">
        <v>43</v>
      </c>
      <c r="B94" s="82" t="s">
        <v>40</v>
      </c>
      <c r="C94" s="51"/>
      <c r="D94" s="52"/>
      <c r="E94" s="196"/>
      <c r="F94" s="199"/>
      <c r="G94" s="200"/>
      <c r="I94" s="16">
        <f>3.195+3.255+1.25+2.87+2.93+2.72+2.93+2.98*3+2.92*3+3.195+3.255+1.25+2.175+2.15+2.2*7+2.225+2.175+2.1*3+2.15*5+2.225+2.5+2.4*3+2.225*5+2.325+1.85*2+4.75*2+4.85*2</f>
        <v>133.99999999999997</v>
      </c>
      <c r="J94" s="41">
        <f>I94*0.55*0.95</f>
        <v>70.014999999999986</v>
      </c>
      <c r="K94" s="14"/>
      <c r="L94" s="14">
        <f>J94+R93</f>
        <v>182.236875</v>
      </c>
      <c r="M94" s="14"/>
    </row>
    <row r="95" spans="1:18" s="14" customFormat="1" ht="15" x14ac:dyDescent="0.25">
      <c r="A95" s="130" t="s">
        <v>135</v>
      </c>
      <c r="B95" s="83" t="s">
        <v>280</v>
      </c>
      <c r="C95" s="51" t="s">
        <v>41</v>
      </c>
      <c r="D95" s="52">
        <v>17.327999999999999</v>
      </c>
      <c r="E95" s="196"/>
      <c r="F95" s="208"/>
      <c r="G95" s="209"/>
      <c r="J95" s="41"/>
    </row>
    <row r="96" spans="1:18" s="14" customFormat="1" ht="15" x14ac:dyDescent="0.25">
      <c r="A96" s="130" t="s">
        <v>136</v>
      </c>
      <c r="B96" s="83" t="s">
        <v>281</v>
      </c>
      <c r="C96" s="51" t="s">
        <v>41</v>
      </c>
      <c r="D96" s="52">
        <v>6.9359999999999999</v>
      </c>
      <c r="E96" s="196"/>
      <c r="F96" s="208"/>
      <c r="G96" s="209"/>
      <c r="J96" s="41"/>
    </row>
    <row r="97" spans="1:14" s="14" customFormat="1" ht="15" x14ac:dyDescent="0.25">
      <c r="A97" s="130" t="s">
        <v>140</v>
      </c>
      <c r="B97" s="83" t="s">
        <v>282</v>
      </c>
      <c r="C97" s="51" t="s">
        <v>41</v>
      </c>
      <c r="D97" s="52">
        <v>5.0460000000000003</v>
      </c>
      <c r="E97" s="196"/>
      <c r="F97" s="208"/>
      <c r="G97" s="209"/>
      <c r="J97" s="41"/>
    </row>
    <row r="98" spans="1:14" s="14" customFormat="1" ht="15" x14ac:dyDescent="0.25">
      <c r="A98" s="130" t="s">
        <v>141</v>
      </c>
      <c r="B98" s="83" t="s">
        <v>283</v>
      </c>
      <c r="C98" s="51" t="s">
        <v>41</v>
      </c>
      <c r="D98" s="52">
        <v>24.335999999999999</v>
      </c>
      <c r="E98" s="196"/>
      <c r="F98" s="208"/>
      <c r="G98" s="209"/>
      <c r="J98" s="41"/>
    </row>
    <row r="99" spans="1:14" s="14" customFormat="1" ht="15" x14ac:dyDescent="0.25">
      <c r="A99" s="130" t="s">
        <v>142</v>
      </c>
      <c r="B99" s="83" t="s">
        <v>284</v>
      </c>
      <c r="C99" s="51" t="s">
        <v>41</v>
      </c>
      <c r="D99" s="52">
        <v>22.217999999999996</v>
      </c>
      <c r="E99" s="196"/>
      <c r="F99" s="208"/>
      <c r="G99" s="209"/>
      <c r="J99" s="41"/>
    </row>
    <row r="100" spans="1:14" s="14" customFormat="1" ht="15" x14ac:dyDescent="0.25">
      <c r="A100" s="130" t="s">
        <v>143</v>
      </c>
      <c r="B100" s="83" t="s">
        <v>524</v>
      </c>
      <c r="C100" s="51" t="s">
        <v>41</v>
      </c>
      <c r="D100" s="52">
        <v>19.2</v>
      </c>
      <c r="E100" s="196"/>
      <c r="F100" s="208"/>
      <c r="G100" s="209"/>
      <c r="J100" s="41"/>
    </row>
    <row r="101" spans="1:14" x14ac:dyDescent="0.2">
      <c r="A101" s="130" t="s">
        <v>144</v>
      </c>
      <c r="B101" s="59" t="s">
        <v>341</v>
      </c>
      <c r="C101" s="51" t="s">
        <v>41</v>
      </c>
      <c r="D101" s="52">
        <v>48.237499999999997</v>
      </c>
      <c r="E101" s="196"/>
      <c r="F101" s="199"/>
      <c r="G101" s="200"/>
      <c r="I101" s="23">
        <f>32.2*4+4.02*2+4.08*2+1.8*2</f>
        <v>148.6</v>
      </c>
      <c r="J101" s="18">
        <f>I101*0.25*0.45</f>
        <v>16.717500000000001</v>
      </c>
      <c r="K101" s="18"/>
      <c r="L101" s="43"/>
      <c r="M101" s="16"/>
      <c r="N101" s="43"/>
    </row>
    <row r="102" spans="1:14" s="16" customFormat="1" x14ac:dyDescent="0.2">
      <c r="A102" s="129"/>
      <c r="B102" s="59"/>
      <c r="C102" s="51"/>
      <c r="D102" s="52"/>
      <c r="E102" s="196"/>
      <c r="F102" s="197"/>
      <c r="G102" s="200"/>
    </row>
    <row r="103" spans="1:14" s="16" customFormat="1" x14ac:dyDescent="0.2">
      <c r="A103" s="129" t="s">
        <v>320</v>
      </c>
      <c r="B103" s="84" t="s">
        <v>42</v>
      </c>
      <c r="C103" s="51"/>
      <c r="D103" s="52"/>
      <c r="E103" s="196"/>
      <c r="F103" s="197"/>
      <c r="G103" s="198"/>
    </row>
    <row r="104" spans="1:14" s="16" customFormat="1" ht="25.5" customHeight="1" x14ac:dyDescent="0.25">
      <c r="A104" s="129"/>
      <c r="B104" s="53" t="s">
        <v>200</v>
      </c>
      <c r="C104" s="54"/>
      <c r="D104" s="54"/>
      <c r="E104" s="210"/>
      <c r="F104" s="197"/>
      <c r="G104" s="198"/>
    </row>
    <row r="105" spans="1:14" s="16" customFormat="1" ht="25.5" customHeight="1" x14ac:dyDescent="0.25">
      <c r="A105" s="129"/>
      <c r="B105" s="66" t="s">
        <v>201</v>
      </c>
      <c r="C105" s="85"/>
      <c r="D105" s="85"/>
      <c r="E105" s="211"/>
      <c r="F105" s="197"/>
      <c r="G105" s="198"/>
    </row>
    <row r="106" spans="1:14" s="16" customFormat="1" ht="24" x14ac:dyDescent="0.2">
      <c r="A106" s="129" t="s">
        <v>135</v>
      </c>
      <c r="B106" s="86" t="s">
        <v>285</v>
      </c>
      <c r="C106" s="51" t="s">
        <v>39</v>
      </c>
      <c r="D106" s="75">
        <v>460</v>
      </c>
      <c r="E106" s="196"/>
      <c r="F106" s="199"/>
      <c r="G106" s="200"/>
      <c r="I106" s="16">
        <f>32.2*10.725</f>
        <v>345.34500000000003</v>
      </c>
    </row>
    <row r="107" spans="1:14" s="16" customFormat="1" ht="60" x14ac:dyDescent="0.2">
      <c r="A107" s="129" t="s">
        <v>136</v>
      </c>
      <c r="B107" s="86" t="s">
        <v>398</v>
      </c>
      <c r="C107" s="51" t="s">
        <v>39</v>
      </c>
      <c r="D107" s="75">
        <v>460</v>
      </c>
      <c r="E107" s="196"/>
      <c r="F107" s="199"/>
      <c r="G107" s="200"/>
    </row>
    <row r="108" spans="1:14" s="16" customFormat="1" x14ac:dyDescent="0.2">
      <c r="A108" s="129" t="s">
        <v>392</v>
      </c>
      <c r="B108" s="56" t="s">
        <v>44</v>
      </c>
      <c r="C108" s="51"/>
      <c r="D108" s="52"/>
      <c r="E108" s="196"/>
      <c r="F108" s="199"/>
      <c r="G108" s="200"/>
    </row>
    <row r="109" spans="1:14" s="16" customFormat="1" ht="27" customHeight="1" x14ac:dyDescent="0.2">
      <c r="A109" s="129"/>
      <c r="B109" s="87" t="s">
        <v>45</v>
      </c>
      <c r="C109" s="51"/>
      <c r="D109" s="52"/>
      <c r="E109" s="196"/>
      <c r="F109" s="199"/>
      <c r="G109" s="200"/>
    </row>
    <row r="110" spans="1:14" s="16" customFormat="1" ht="24" x14ac:dyDescent="0.2">
      <c r="A110" s="129" t="s">
        <v>135</v>
      </c>
      <c r="B110" s="87" t="s">
        <v>46</v>
      </c>
      <c r="C110" s="51" t="s">
        <v>39</v>
      </c>
      <c r="D110" s="52">
        <v>135.97</v>
      </c>
      <c r="E110" s="196"/>
      <c r="F110" s="199"/>
      <c r="G110" s="200"/>
      <c r="I110" s="18"/>
      <c r="J110" s="18"/>
    </row>
    <row r="111" spans="1:14" s="16" customFormat="1" x14ac:dyDescent="0.2">
      <c r="A111" s="129"/>
      <c r="B111" s="87"/>
      <c r="C111" s="51"/>
      <c r="D111" s="52"/>
      <c r="E111" s="196"/>
      <c r="F111" s="197"/>
      <c r="G111" s="200"/>
      <c r="I111" s="18"/>
    </row>
    <row r="112" spans="1:14" s="16" customFormat="1" x14ac:dyDescent="0.2">
      <c r="A112" s="129"/>
      <c r="B112" s="87"/>
      <c r="C112" s="51"/>
      <c r="D112" s="52"/>
      <c r="E112" s="196"/>
      <c r="F112" s="197"/>
      <c r="G112" s="198"/>
    </row>
    <row r="113" spans="1:18" s="16" customFormat="1" ht="12.75" thickBot="1" x14ac:dyDescent="0.25">
      <c r="A113" s="129"/>
      <c r="B113" s="87"/>
      <c r="C113" s="51"/>
      <c r="D113" s="52"/>
      <c r="E113" s="52"/>
      <c r="F113" s="52"/>
      <c r="G113" s="52"/>
    </row>
    <row r="114" spans="1:18" s="16" customFormat="1" x14ac:dyDescent="0.2">
      <c r="A114" s="303"/>
      <c r="B114" s="160" t="s">
        <v>47</v>
      </c>
      <c r="C114" s="166"/>
      <c r="D114" s="162"/>
      <c r="E114" s="162"/>
      <c r="F114" s="162"/>
      <c r="G114" s="162"/>
    </row>
    <row r="115" spans="1:18" s="16" customFormat="1" ht="12.75" thickBot="1" x14ac:dyDescent="0.25">
      <c r="A115" s="304"/>
      <c r="B115" s="163" t="s">
        <v>48</v>
      </c>
      <c r="C115" s="167"/>
      <c r="D115" s="165"/>
      <c r="E115" s="262"/>
      <c r="F115" s="263"/>
      <c r="G115" s="264"/>
    </row>
    <row r="116" spans="1:18" s="16" customFormat="1" x14ac:dyDescent="0.2">
      <c r="A116" s="129"/>
      <c r="B116" s="67" t="s">
        <v>49</v>
      </c>
      <c r="C116" s="51"/>
      <c r="D116" s="52"/>
      <c r="E116" s="196"/>
      <c r="F116" s="197"/>
      <c r="G116" s="198"/>
    </row>
    <row r="117" spans="1:18" s="16" customFormat="1" x14ac:dyDescent="0.2">
      <c r="A117" s="129" t="s">
        <v>393</v>
      </c>
      <c r="B117" s="50" t="s">
        <v>50</v>
      </c>
      <c r="C117" s="51"/>
      <c r="D117" s="52"/>
      <c r="E117" s="196"/>
      <c r="F117" s="197"/>
      <c r="G117" s="198"/>
    </row>
    <row r="118" spans="1:18" s="16" customFormat="1" ht="58.5" customHeight="1" x14ac:dyDescent="0.25">
      <c r="A118" s="129"/>
      <c r="B118" s="53" t="s">
        <v>184</v>
      </c>
      <c r="C118" s="54"/>
      <c r="D118" s="54"/>
      <c r="E118" s="210"/>
      <c r="F118" s="210"/>
      <c r="G118" s="212"/>
    </row>
    <row r="119" spans="1:18" s="16" customFormat="1" ht="35.25" customHeight="1" x14ac:dyDescent="0.25">
      <c r="A119" s="129"/>
      <c r="B119" s="55" t="s">
        <v>183</v>
      </c>
      <c r="C119" s="54"/>
      <c r="D119" s="54"/>
      <c r="E119" s="210"/>
      <c r="F119" s="210"/>
      <c r="G119" s="212"/>
    </row>
    <row r="120" spans="1:18" s="16" customFormat="1" ht="36" customHeight="1" x14ac:dyDescent="0.25">
      <c r="A120" s="129"/>
      <c r="B120" s="53" t="s">
        <v>128</v>
      </c>
      <c r="C120" s="54"/>
      <c r="D120" s="54"/>
      <c r="E120" s="210"/>
      <c r="F120" s="210"/>
      <c r="G120" s="212"/>
    </row>
    <row r="121" spans="1:18" s="16" customFormat="1" ht="15" customHeight="1" x14ac:dyDescent="0.2">
      <c r="A121" s="307" t="s">
        <v>54</v>
      </c>
      <c r="B121" s="245" t="s">
        <v>55</v>
      </c>
      <c r="C121" s="246"/>
      <c r="D121" s="219"/>
      <c r="E121" s="196"/>
      <c r="F121" s="197"/>
      <c r="G121" s="198"/>
    </row>
    <row r="122" spans="1:18" s="42" customFormat="1" ht="14.25" customHeight="1" x14ac:dyDescent="0.25">
      <c r="A122" s="302"/>
      <c r="B122" s="56" t="s">
        <v>210</v>
      </c>
      <c r="C122" s="57"/>
      <c r="D122" s="58"/>
      <c r="E122" s="213"/>
      <c r="F122" s="214"/>
      <c r="G122" s="215"/>
      <c r="I122" s="16">
        <f>1.1*1.1*6</f>
        <v>7.2600000000000016</v>
      </c>
      <c r="J122" s="16">
        <f>1.45*1.45*8</f>
        <v>16.82</v>
      </c>
      <c r="K122" s="16">
        <f>1.35*1.35*11</f>
        <v>20.047500000000003</v>
      </c>
      <c r="L122" s="16">
        <f>1.2*1.2*4</f>
        <v>5.76</v>
      </c>
      <c r="M122" s="16">
        <f>0.9*0.9*2</f>
        <v>1.62</v>
      </c>
      <c r="N122" s="16">
        <f>1.25*1.25*4</f>
        <v>6.25</v>
      </c>
      <c r="O122" s="16">
        <f>1.95*1.95*4</f>
        <v>15.209999999999999</v>
      </c>
      <c r="P122" s="16">
        <f>2.05*2.05*4</f>
        <v>16.809999999999999</v>
      </c>
      <c r="Q122" s="16">
        <f>SUM(I121:P122)</f>
        <v>89.777500000000003</v>
      </c>
      <c r="R122" s="16">
        <f>Q122</f>
        <v>89.777500000000003</v>
      </c>
    </row>
    <row r="123" spans="1:18" s="16" customFormat="1" ht="12" customHeight="1" x14ac:dyDescent="0.25">
      <c r="A123" s="129"/>
      <c r="B123" s="59" t="s">
        <v>222</v>
      </c>
      <c r="C123" s="51" t="s">
        <v>39</v>
      </c>
      <c r="D123" s="52">
        <v>135.97</v>
      </c>
      <c r="E123" s="196"/>
      <c r="F123" s="199"/>
      <c r="G123" s="200"/>
      <c r="I123" s="16">
        <f>3.195+3.255+1.25+2.87+2.93+2.72+2.93+2.98*3+2.92*3+3.195+3.255+1.25+2.175+2.15+2.2*7+2.225+2.175+2.1*3+2.15*5+2.225+2.5+2.4*3+2.225*5+2.325+1.85*2+4.75*2+4.85*2</f>
        <v>133.99999999999997</v>
      </c>
      <c r="J123" s="41">
        <f>I123*0.55</f>
        <v>73.699999999999989</v>
      </c>
      <c r="K123" s="14"/>
      <c r="L123" s="14">
        <f>J123+R122</f>
        <v>163.47749999999999</v>
      </c>
      <c r="M123" s="14"/>
    </row>
    <row r="124" spans="1:18" s="16" customFormat="1" ht="15" customHeight="1" x14ac:dyDescent="0.2">
      <c r="A124" s="308" t="s">
        <v>394</v>
      </c>
      <c r="B124" s="247" t="s">
        <v>11</v>
      </c>
      <c r="C124" s="248"/>
      <c r="D124" s="219"/>
      <c r="E124" s="196"/>
      <c r="F124" s="197"/>
      <c r="G124" s="198"/>
    </row>
    <row r="125" spans="1:18" x14ac:dyDescent="0.2">
      <c r="A125" s="311" t="s">
        <v>395</v>
      </c>
      <c r="B125" s="239" t="s">
        <v>56</v>
      </c>
      <c r="C125" s="240"/>
      <c r="D125" s="241"/>
      <c r="E125" s="216"/>
      <c r="F125" s="217"/>
      <c r="G125" s="218"/>
    </row>
    <row r="126" spans="1:18" s="14" customFormat="1" ht="15" x14ac:dyDescent="0.25">
      <c r="A126" s="130" t="s">
        <v>135</v>
      </c>
      <c r="B126" s="83" t="s">
        <v>280</v>
      </c>
      <c r="C126" s="51" t="s">
        <v>41</v>
      </c>
      <c r="D126" s="52">
        <v>5.0539999999999994</v>
      </c>
      <c r="E126" s="196"/>
      <c r="F126" s="208"/>
      <c r="G126" s="209"/>
      <c r="J126" s="41"/>
    </row>
    <row r="127" spans="1:18" s="14" customFormat="1" ht="15" x14ac:dyDescent="0.25">
      <c r="A127" s="130" t="s">
        <v>136</v>
      </c>
      <c r="B127" s="83" t="s">
        <v>281</v>
      </c>
      <c r="C127" s="51" t="s">
        <v>41</v>
      </c>
      <c r="D127" s="52">
        <v>2.0229999999999997</v>
      </c>
      <c r="E127" s="196"/>
      <c r="F127" s="208"/>
      <c r="G127" s="209"/>
      <c r="J127" s="41"/>
    </row>
    <row r="128" spans="1:18" s="14" customFormat="1" ht="15" x14ac:dyDescent="0.25">
      <c r="A128" s="130" t="s">
        <v>140</v>
      </c>
      <c r="B128" s="83" t="s">
        <v>282</v>
      </c>
      <c r="C128" s="51" t="s">
        <v>41</v>
      </c>
      <c r="D128" s="52">
        <v>1.4717499999999999</v>
      </c>
      <c r="E128" s="196"/>
      <c r="F128" s="208"/>
      <c r="G128" s="209"/>
      <c r="J128" s="41"/>
    </row>
    <row r="129" spans="1:18" s="14" customFormat="1" ht="15" x14ac:dyDescent="0.25">
      <c r="A129" s="130" t="s">
        <v>141</v>
      </c>
      <c r="B129" s="83" t="s">
        <v>283</v>
      </c>
      <c r="C129" s="51" t="s">
        <v>41</v>
      </c>
      <c r="D129" s="52">
        <v>7.097999999999999</v>
      </c>
      <c r="E129" s="196"/>
      <c r="F129" s="208"/>
      <c r="G129" s="209"/>
      <c r="J129" s="41"/>
    </row>
    <row r="130" spans="1:18" s="14" customFormat="1" ht="15" x14ac:dyDescent="0.25">
      <c r="A130" s="130" t="s">
        <v>142</v>
      </c>
      <c r="B130" s="83" t="s">
        <v>284</v>
      </c>
      <c r="C130" s="51" t="s">
        <v>41</v>
      </c>
      <c r="D130" s="52">
        <v>6.480249999999999</v>
      </c>
      <c r="E130" s="196"/>
      <c r="F130" s="208"/>
      <c r="G130" s="209"/>
      <c r="J130" s="41"/>
    </row>
    <row r="131" spans="1:18" s="14" customFormat="1" ht="15" x14ac:dyDescent="0.25">
      <c r="A131" s="130" t="s">
        <v>143</v>
      </c>
      <c r="B131" s="83" t="s">
        <v>524</v>
      </c>
      <c r="C131" s="51" t="s">
        <v>41</v>
      </c>
      <c r="D131" s="52">
        <v>5.6</v>
      </c>
      <c r="E131" s="196"/>
      <c r="F131" s="208"/>
      <c r="G131" s="209"/>
      <c r="J131" s="41"/>
    </row>
    <row r="132" spans="1:18" x14ac:dyDescent="0.2">
      <c r="A132" s="130" t="s">
        <v>144</v>
      </c>
      <c r="B132" s="59" t="s">
        <v>341</v>
      </c>
      <c r="C132" s="51" t="s">
        <v>41</v>
      </c>
      <c r="D132" s="52">
        <v>22.700000000000003</v>
      </c>
      <c r="E132" s="196"/>
      <c r="F132" s="199"/>
      <c r="G132" s="200"/>
      <c r="I132" s="23">
        <f>32.2*4+4.02*2+4.08*2+1.8*2</f>
        <v>148.6</v>
      </c>
      <c r="J132" s="18">
        <f>I132*0.25*0.45</f>
        <v>16.717500000000001</v>
      </c>
      <c r="K132" s="18"/>
      <c r="L132" s="43"/>
      <c r="M132" s="16"/>
      <c r="N132" s="43"/>
    </row>
    <row r="133" spans="1:18" x14ac:dyDescent="0.2">
      <c r="A133" s="311" t="s">
        <v>396</v>
      </c>
      <c r="B133" s="239" t="s">
        <v>59</v>
      </c>
      <c r="C133" s="240"/>
      <c r="D133" s="241"/>
      <c r="E133" s="216"/>
      <c r="F133" s="217"/>
      <c r="G133" s="218"/>
    </row>
    <row r="134" spans="1:18" x14ac:dyDescent="0.2">
      <c r="A134" s="309"/>
      <c r="B134" s="63" t="s">
        <v>138</v>
      </c>
      <c r="C134" s="64"/>
      <c r="D134" s="65"/>
      <c r="E134" s="216"/>
      <c r="F134" s="217"/>
      <c r="G134" s="218"/>
    </row>
    <row r="135" spans="1:18" ht="13.5" x14ac:dyDescent="0.2">
      <c r="A135" s="309" t="s">
        <v>135</v>
      </c>
      <c r="B135" s="60" t="s">
        <v>286</v>
      </c>
      <c r="C135" s="61" t="s">
        <v>120</v>
      </c>
      <c r="D135" s="62">
        <v>1.2320000000000002</v>
      </c>
      <c r="E135" s="196"/>
      <c r="F135" s="199"/>
      <c r="G135" s="200"/>
      <c r="I135" s="13">
        <f>0.2*0.2*4.275*35</f>
        <v>5.9850000000000012</v>
      </c>
      <c r="N135" s="13">
        <v>10</v>
      </c>
      <c r="O135" s="13">
        <v>1</v>
      </c>
      <c r="P135" s="13">
        <v>10</v>
      </c>
      <c r="Q135" s="13">
        <f>P135*O135</f>
        <v>10</v>
      </c>
      <c r="R135" s="13">
        <f>Q135*N135</f>
        <v>100</v>
      </c>
    </row>
    <row r="136" spans="1:18" ht="13.5" x14ac:dyDescent="0.2">
      <c r="A136" s="309" t="s">
        <v>136</v>
      </c>
      <c r="B136" s="60" t="s">
        <v>287</v>
      </c>
      <c r="C136" s="61" t="s">
        <v>120</v>
      </c>
      <c r="D136" s="62">
        <v>1.155</v>
      </c>
      <c r="E136" s="196"/>
      <c r="F136" s="199"/>
      <c r="G136" s="200"/>
      <c r="I136" s="13">
        <f>0.4*0.2*4.275*5</f>
        <v>1.7100000000000004</v>
      </c>
      <c r="N136" s="13">
        <v>-10</v>
      </c>
      <c r="O136" s="13">
        <v>1</v>
      </c>
      <c r="P136" s="13">
        <v>30</v>
      </c>
      <c r="Q136" s="13">
        <f>P136*O136</f>
        <v>30</v>
      </c>
      <c r="R136" s="13">
        <f>Q136*N136</f>
        <v>-300</v>
      </c>
    </row>
    <row r="137" spans="1:18" ht="13.5" x14ac:dyDescent="0.2">
      <c r="A137" s="309" t="s">
        <v>140</v>
      </c>
      <c r="B137" s="60" t="s">
        <v>288</v>
      </c>
      <c r="C137" s="61" t="s">
        <v>120</v>
      </c>
      <c r="D137" s="62">
        <v>4.2</v>
      </c>
      <c r="E137" s="196"/>
      <c r="F137" s="199"/>
      <c r="G137" s="200"/>
      <c r="I137" s="13">
        <f>0.15*0.15*3.825*6</f>
        <v>0.51637500000000003</v>
      </c>
      <c r="R137" s="13">
        <f>SUM(R135:R136)</f>
        <v>-200</v>
      </c>
    </row>
    <row r="138" spans="1:18" ht="13.5" x14ac:dyDescent="0.2">
      <c r="A138" s="309" t="s">
        <v>141</v>
      </c>
      <c r="B138" s="60" t="s">
        <v>289</v>
      </c>
      <c r="C138" s="61" t="s">
        <v>120</v>
      </c>
      <c r="D138" s="62">
        <v>2.5200000000000005</v>
      </c>
      <c r="E138" s="196"/>
      <c r="F138" s="199"/>
      <c r="G138" s="200"/>
      <c r="I138" s="13">
        <f>0.15*0.15*3.825*6</f>
        <v>0.51637500000000003</v>
      </c>
    </row>
    <row r="139" spans="1:18" x14ac:dyDescent="0.2">
      <c r="A139" s="309"/>
      <c r="B139" s="63" t="s">
        <v>161</v>
      </c>
      <c r="C139" s="64"/>
      <c r="D139" s="65"/>
      <c r="E139" s="216"/>
      <c r="F139" s="199"/>
      <c r="G139" s="200"/>
    </row>
    <row r="140" spans="1:18" ht="13.5" x14ac:dyDescent="0.2">
      <c r="A140" s="309" t="s">
        <v>142</v>
      </c>
      <c r="B140" s="60" t="s">
        <v>225</v>
      </c>
      <c r="C140" s="61" t="s">
        <v>120</v>
      </c>
      <c r="D140" s="62">
        <v>3.1</v>
      </c>
      <c r="E140" s="196"/>
      <c r="F140" s="199"/>
      <c r="G140" s="200"/>
    </row>
    <row r="141" spans="1:18" x14ac:dyDescent="0.2">
      <c r="A141" s="309"/>
      <c r="B141" s="63" t="s">
        <v>163</v>
      </c>
      <c r="C141" s="64"/>
      <c r="D141" s="65"/>
      <c r="E141" s="216"/>
      <c r="F141" s="199"/>
      <c r="G141" s="200"/>
    </row>
    <row r="142" spans="1:18" ht="13.5" x14ac:dyDescent="0.2">
      <c r="A142" s="309" t="s">
        <v>144</v>
      </c>
      <c r="B142" s="60" t="s">
        <v>397</v>
      </c>
      <c r="C142" s="61" t="s">
        <v>120</v>
      </c>
      <c r="D142" s="62">
        <v>45.979500000000002</v>
      </c>
      <c r="E142" s="196"/>
      <c r="F142" s="199"/>
      <c r="G142" s="200"/>
      <c r="I142" s="13">
        <f>32.2*11.075</f>
        <v>356.61500000000001</v>
      </c>
      <c r="J142" s="13">
        <f>32.2*0.15*2</f>
        <v>9.66</v>
      </c>
      <c r="K142" s="13">
        <f>SUM(I142:J142)</f>
        <v>366.27500000000003</v>
      </c>
      <c r="L142" s="13">
        <f>K142*0.1</f>
        <v>36.627500000000005</v>
      </c>
    </row>
    <row r="143" spans="1:18" x14ac:dyDescent="0.2">
      <c r="A143" s="311" t="s">
        <v>399</v>
      </c>
      <c r="B143" s="239" t="s">
        <v>60</v>
      </c>
      <c r="C143" s="240"/>
      <c r="D143" s="241"/>
      <c r="E143" s="216"/>
      <c r="F143" s="217"/>
      <c r="G143" s="218"/>
    </row>
    <row r="144" spans="1:18" x14ac:dyDescent="0.2">
      <c r="A144" s="309"/>
      <c r="B144" s="63" t="s">
        <v>226</v>
      </c>
      <c r="C144" s="64"/>
      <c r="D144" s="65"/>
      <c r="E144" s="216"/>
      <c r="F144" s="217"/>
      <c r="G144" s="218"/>
    </row>
    <row r="145" spans="1:18" ht="13.5" x14ac:dyDescent="0.2">
      <c r="A145" s="309" t="s">
        <v>135</v>
      </c>
      <c r="B145" s="60" t="s">
        <v>290</v>
      </c>
      <c r="C145" s="61" t="s">
        <v>120</v>
      </c>
      <c r="D145" s="62">
        <v>4.7700000000000005</v>
      </c>
      <c r="E145" s="196"/>
      <c r="F145" s="199"/>
      <c r="G145" s="200"/>
      <c r="I145" s="13">
        <f>3.82*5+4.08*5</f>
        <v>39.5</v>
      </c>
      <c r="J145" s="13">
        <f t="shared" ref="J145" si="0">I145*0.2*0.3</f>
        <v>2.37</v>
      </c>
    </row>
    <row r="146" spans="1:18" ht="13.5" x14ac:dyDescent="0.2">
      <c r="A146" s="309" t="s">
        <v>136</v>
      </c>
      <c r="B146" s="60" t="s">
        <v>291</v>
      </c>
      <c r="C146" s="61" t="s">
        <v>120</v>
      </c>
      <c r="D146" s="62">
        <v>9.2250000000000014</v>
      </c>
      <c r="E146" s="196"/>
      <c r="F146" s="199"/>
      <c r="G146" s="200"/>
      <c r="I146" s="13">
        <f>3*10</f>
        <v>30</v>
      </c>
      <c r="J146" s="13">
        <f>I146*0.2*0.3</f>
        <v>1.7999999999999998</v>
      </c>
    </row>
    <row r="147" spans="1:18" ht="13.5" x14ac:dyDescent="0.2">
      <c r="A147" s="309" t="s">
        <v>140</v>
      </c>
      <c r="B147" s="60" t="s">
        <v>292</v>
      </c>
      <c r="C147" s="61" t="s">
        <v>120</v>
      </c>
      <c r="D147" s="62">
        <v>3.6450000000000005</v>
      </c>
      <c r="E147" s="196"/>
      <c r="F147" s="199"/>
      <c r="G147" s="200"/>
      <c r="I147" s="13">
        <v>3</v>
      </c>
      <c r="J147" s="13">
        <f>I147*0.2*0.4</f>
        <v>0.24000000000000005</v>
      </c>
    </row>
    <row r="148" spans="1:18" x14ac:dyDescent="0.2">
      <c r="A148" s="309"/>
      <c r="B148" s="63" t="s">
        <v>227</v>
      </c>
      <c r="C148" s="64"/>
      <c r="D148" s="65"/>
      <c r="E148" s="216"/>
      <c r="F148" s="199"/>
      <c r="G148" s="200"/>
    </row>
    <row r="149" spans="1:18" ht="13.5" x14ac:dyDescent="0.2">
      <c r="A149" s="309" t="s">
        <v>141</v>
      </c>
      <c r="B149" s="60" t="s">
        <v>321</v>
      </c>
      <c r="C149" s="61" t="s">
        <v>120</v>
      </c>
      <c r="D149" s="62">
        <v>61.55362499999999</v>
      </c>
      <c r="E149" s="196"/>
      <c r="F149" s="199"/>
      <c r="G149" s="200"/>
      <c r="I149" s="13">
        <f>29*8.5</f>
        <v>246.5</v>
      </c>
      <c r="J149" s="13">
        <f>32.2*2.2</f>
        <v>70.840000000000018</v>
      </c>
      <c r="K149" s="13">
        <f>SUM(I149:J149)</f>
        <v>317.34000000000003</v>
      </c>
      <c r="L149" s="13">
        <f>K149*0.15</f>
        <v>47.601000000000006</v>
      </c>
    </row>
    <row r="150" spans="1:18" ht="13.5" x14ac:dyDescent="0.2">
      <c r="A150" s="309" t="s">
        <v>142</v>
      </c>
      <c r="B150" s="60" t="s">
        <v>322</v>
      </c>
      <c r="C150" s="61" t="s">
        <v>120</v>
      </c>
      <c r="D150" s="62">
        <v>13.074056250000002</v>
      </c>
      <c r="E150" s="196"/>
      <c r="F150" s="199"/>
      <c r="G150" s="200"/>
      <c r="I150" s="13">
        <f>29*8.5</f>
        <v>246.5</v>
      </c>
      <c r="J150" s="13">
        <f>32.2*2.2</f>
        <v>70.840000000000018</v>
      </c>
      <c r="K150" s="13">
        <f>SUM(I150:J150)</f>
        <v>317.34000000000003</v>
      </c>
      <c r="L150" s="13">
        <f>K150*0.15</f>
        <v>47.601000000000006</v>
      </c>
    </row>
    <row r="151" spans="1:18" x14ac:dyDescent="0.2">
      <c r="A151" s="309"/>
      <c r="B151" s="63" t="s">
        <v>138</v>
      </c>
      <c r="C151" s="64"/>
      <c r="D151" s="65"/>
      <c r="E151" s="216"/>
      <c r="F151" s="217"/>
      <c r="G151" s="218"/>
    </row>
    <row r="152" spans="1:18" ht="13.5" x14ac:dyDescent="0.2">
      <c r="A152" s="309" t="s">
        <v>143</v>
      </c>
      <c r="B152" s="60" t="s">
        <v>286</v>
      </c>
      <c r="C152" s="61" t="s">
        <v>120</v>
      </c>
      <c r="D152" s="62">
        <v>1.056</v>
      </c>
      <c r="E152" s="196"/>
      <c r="F152" s="199"/>
      <c r="G152" s="200"/>
      <c r="I152" s="13">
        <f>0.2*0.2*4.275*35</f>
        <v>5.9850000000000012</v>
      </c>
      <c r="N152" s="13">
        <v>10</v>
      </c>
      <c r="O152" s="13">
        <v>1</v>
      </c>
      <c r="P152" s="13">
        <v>10</v>
      </c>
      <c r="Q152" s="13">
        <f>P152*O152</f>
        <v>10</v>
      </c>
      <c r="R152" s="13">
        <f>Q152*N152</f>
        <v>100</v>
      </c>
    </row>
    <row r="153" spans="1:18" ht="13.5" x14ac:dyDescent="0.2">
      <c r="A153" s="309" t="s">
        <v>144</v>
      </c>
      <c r="B153" s="60" t="s">
        <v>287</v>
      </c>
      <c r="C153" s="61" t="s">
        <v>120</v>
      </c>
      <c r="D153" s="62">
        <v>0.99</v>
      </c>
      <c r="E153" s="196"/>
      <c r="F153" s="199"/>
      <c r="G153" s="200"/>
      <c r="I153" s="13">
        <f>0.4*0.2*4.275*5</f>
        <v>1.7100000000000004</v>
      </c>
      <c r="N153" s="13">
        <v>-10</v>
      </c>
      <c r="O153" s="13">
        <v>1</v>
      </c>
      <c r="P153" s="13">
        <v>30</v>
      </c>
      <c r="Q153" s="13">
        <f>P153*O153</f>
        <v>30</v>
      </c>
      <c r="R153" s="13">
        <f>Q153*N153</f>
        <v>-300</v>
      </c>
    </row>
    <row r="154" spans="1:18" ht="13.5" x14ac:dyDescent="0.2">
      <c r="A154" s="309" t="s">
        <v>145</v>
      </c>
      <c r="B154" s="60" t="s">
        <v>288</v>
      </c>
      <c r="C154" s="61" t="s">
        <v>120</v>
      </c>
      <c r="D154" s="62">
        <v>3.6000000000000005</v>
      </c>
      <c r="E154" s="196"/>
      <c r="F154" s="199"/>
      <c r="G154" s="200"/>
      <c r="I154" s="13">
        <f>0.15*0.15*3.825*6</f>
        <v>0.51637500000000003</v>
      </c>
      <c r="R154" s="13">
        <f>SUM(R152:R153)</f>
        <v>-200</v>
      </c>
    </row>
    <row r="155" spans="1:18" ht="13.5" x14ac:dyDescent="0.2">
      <c r="A155" s="309" t="s">
        <v>146</v>
      </c>
      <c r="B155" s="60" t="s">
        <v>289</v>
      </c>
      <c r="C155" s="61" t="s">
        <v>120</v>
      </c>
      <c r="D155" s="62">
        <v>2.1600000000000006</v>
      </c>
      <c r="E155" s="196"/>
      <c r="F155" s="199"/>
      <c r="G155" s="200"/>
      <c r="I155" s="13">
        <f>0.15*0.15*3.825*6</f>
        <v>0.51637500000000003</v>
      </c>
    </row>
    <row r="156" spans="1:18" x14ac:dyDescent="0.2">
      <c r="A156" s="311" t="s">
        <v>401</v>
      </c>
      <c r="B156" s="239" t="s">
        <v>213</v>
      </c>
      <c r="C156" s="240"/>
      <c r="D156" s="241"/>
      <c r="E156" s="216"/>
      <c r="F156" s="217"/>
      <c r="G156" s="218"/>
    </row>
    <row r="157" spans="1:18" x14ac:dyDescent="0.2">
      <c r="A157" s="309"/>
      <c r="B157" s="63" t="s">
        <v>223</v>
      </c>
      <c r="C157" s="64"/>
      <c r="D157" s="65"/>
      <c r="E157" s="216"/>
      <c r="F157" s="217"/>
      <c r="G157" s="218"/>
    </row>
    <row r="158" spans="1:18" ht="13.5" x14ac:dyDescent="0.2">
      <c r="A158" s="309" t="s">
        <v>135</v>
      </c>
      <c r="B158" s="60" t="s">
        <v>525</v>
      </c>
      <c r="C158" s="61" t="s">
        <v>120</v>
      </c>
      <c r="D158" s="62">
        <v>3.48</v>
      </c>
      <c r="E158" s="196"/>
      <c r="F158" s="199"/>
      <c r="G158" s="200"/>
      <c r="I158" s="13">
        <f>3.82*5+4.08*5</f>
        <v>39.5</v>
      </c>
      <c r="J158" s="13">
        <f t="shared" ref="J158" si="1">I158*0.2*0.3</f>
        <v>2.37</v>
      </c>
    </row>
    <row r="159" spans="1:18" ht="13.5" x14ac:dyDescent="0.2">
      <c r="A159" s="309" t="s">
        <v>136</v>
      </c>
      <c r="B159" s="60" t="s">
        <v>526</v>
      </c>
      <c r="C159" s="61" t="s">
        <v>120</v>
      </c>
      <c r="D159" s="62">
        <v>9.24</v>
      </c>
      <c r="E159" s="196"/>
      <c r="F159" s="199"/>
      <c r="G159" s="200"/>
      <c r="I159" s="13">
        <f>3*10</f>
        <v>30</v>
      </c>
      <c r="J159" s="13">
        <f>I159*0.2*0.3</f>
        <v>1.7999999999999998</v>
      </c>
    </row>
    <row r="160" spans="1:18" ht="13.5" x14ac:dyDescent="0.2">
      <c r="A160" s="309" t="s">
        <v>140</v>
      </c>
      <c r="B160" s="60" t="s">
        <v>293</v>
      </c>
      <c r="C160" s="61" t="s">
        <v>120</v>
      </c>
      <c r="D160" s="62">
        <v>0.75</v>
      </c>
      <c r="E160" s="196"/>
      <c r="F160" s="199"/>
      <c r="G160" s="200"/>
      <c r="I160" s="13">
        <v>3</v>
      </c>
      <c r="J160" s="13">
        <f>I160*0.2*0.4</f>
        <v>0.24000000000000005</v>
      </c>
    </row>
    <row r="161" spans="1:13" ht="15" x14ac:dyDescent="0.25">
      <c r="A161" s="309" t="s">
        <v>141</v>
      </c>
      <c r="B161" t="s">
        <v>340</v>
      </c>
      <c r="C161" s="61" t="s">
        <v>120</v>
      </c>
      <c r="D161" s="62">
        <v>0.99</v>
      </c>
      <c r="E161" s="196"/>
      <c r="F161" s="199"/>
      <c r="G161" s="200"/>
      <c r="I161" s="13">
        <v>3</v>
      </c>
      <c r="J161" s="13">
        <f>I161*0.2*0.4</f>
        <v>0.24000000000000005</v>
      </c>
    </row>
    <row r="162" spans="1:13" ht="12.75" thickBot="1" x14ac:dyDescent="0.25">
      <c r="A162" s="309"/>
      <c r="B162" s="60"/>
      <c r="C162" s="61"/>
      <c r="D162" s="62"/>
      <c r="E162" s="196"/>
      <c r="F162" s="199"/>
      <c r="G162" s="200"/>
    </row>
    <row r="163" spans="1:13" x14ac:dyDescent="0.2">
      <c r="A163" s="310"/>
      <c r="B163" s="259"/>
      <c r="C163" s="260"/>
      <c r="D163" s="261"/>
      <c r="E163" s="196"/>
      <c r="F163" s="199"/>
      <c r="G163" s="200"/>
    </row>
    <row r="164" spans="1:13" x14ac:dyDescent="0.2">
      <c r="A164" s="309"/>
      <c r="B164" s="60"/>
      <c r="C164" s="61"/>
      <c r="D164" s="62"/>
      <c r="E164" s="196"/>
      <c r="F164" s="199"/>
      <c r="G164" s="200"/>
    </row>
    <row r="165" spans="1:13" x14ac:dyDescent="0.2">
      <c r="A165" s="307" t="s">
        <v>402</v>
      </c>
      <c r="B165" s="249" t="s">
        <v>10</v>
      </c>
      <c r="C165" s="248"/>
      <c r="D165" s="219"/>
      <c r="E165" s="196"/>
      <c r="F165" s="219"/>
      <c r="G165" s="220"/>
      <c r="M165" s="13" t="e">
        <f>#REF!-#REF!</f>
        <v>#REF!</v>
      </c>
    </row>
    <row r="166" spans="1:13" ht="24" x14ac:dyDescent="0.2">
      <c r="A166" s="129"/>
      <c r="B166" s="66" t="s">
        <v>114</v>
      </c>
      <c r="C166" s="66"/>
      <c r="D166" s="66"/>
      <c r="E166" s="221"/>
      <c r="F166" s="221"/>
      <c r="G166" s="222"/>
    </row>
    <row r="167" spans="1:13" ht="25.5" customHeight="1" x14ac:dyDescent="0.2">
      <c r="A167" s="129"/>
      <c r="B167" s="66" t="s">
        <v>62</v>
      </c>
      <c r="C167" s="66"/>
      <c r="D167" s="66"/>
      <c r="E167" s="221"/>
      <c r="F167" s="221"/>
      <c r="G167" s="222"/>
    </row>
    <row r="168" spans="1:13" ht="48.75" customHeight="1" x14ac:dyDescent="0.2">
      <c r="A168" s="129"/>
      <c r="B168" s="66" t="s">
        <v>63</v>
      </c>
      <c r="C168" s="66"/>
      <c r="D168" s="66"/>
      <c r="E168" s="221"/>
      <c r="F168" s="221"/>
      <c r="G168" s="222"/>
    </row>
    <row r="169" spans="1:13" ht="63.75" customHeight="1" x14ac:dyDescent="0.2">
      <c r="A169" s="129"/>
      <c r="B169" s="89" t="s">
        <v>64</v>
      </c>
      <c r="C169" s="89"/>
      <c r="D169" s="89"/>
      <c r="E169" s="223"/>
      <c r="F169" s="223"/>
      <c r="G169" s="224"/>
    </row>
    <row r="170" spans="1:13" ht="13.5" customHeight="1" x14ac:dyDescent="0.2">
      <c r="A170" s="311" t="s">
        <v>403</v>
      </c>
      <c r="B170" s="239" t="s">
        <v>56</v>
      </c>
      <c r="C170" s="240"/>
      <c r="D170" s="241"/>
      <c r="E170" s="216"/>
      <c r="F170" s="217"/>
      <c r="G170" s="218"/>
    </row>
    <row r="171" spans="1:13" s="14" customFormat="1" ht="15" x14ac:dyDescent="0.25">
      <c r="A171" s="309" t="s">
        <v>135</v>
      </c>
      <c r="B171" s="83" t="s">
        <v>280</v>
      </c>
      <c r="C171" s="90" t="s">
        <v>122</v>
      </c>
      <c r="D171" s="52">
        <v>2.6599999999999997</v>
      </c>
      <c r="E171" s="196"/>
      <c r="F171" s="208"/>
      <c r="G171" s="209"/>
      <c r="J171" s="41"/>
    </row>
    <row r="172" spans="1:13" s="14" customFormat="1" ht="15" x14ac:dyDescent="0.25">
      <c r="A172" s="309" t="s">
        <v>136</v>
      </c>
      <c r="B172" s="83" t="s">
        <v>281</v>
      </c>
      <c r="C172" s="90" t="s">
        <v>122</v>
      </c>
      <c r="D172" s="52">
        <v>2.38</v>
      </c>
      <c r="E172" s="196"/>
      <c r="F172" s="208"/>
      <c r="G172" s="209"/>
      <c r="J172" s="41"/>
    </row>
    <row r="173" spans="1:13" s="14" customFormat="1" ht="15" x14ac:dyDescent="0.25">
      <c r="A173" s="309" t="s">
        <v>140</v>
      </c>
      <c r="B173" s="83" t="s">
        <v>282</v>
      </c>
      <c r="C173" s="90" t="s">
        <v>122</v>
      </c>
      <c r="D173" s="52">
        <v>2.0299999999999998</v>
      </c>
      <c r="E173" s="196"/>
      <c r="F173" s="208"/>
      <c r="G173" s="209"/>
      <c r="J173" s="41"/>
    </row>
    <row r="174" spans="1:13" s="14" customFormat="1" ht="15" x14ac:dyDescent="0.25">
      <c r="A174" s="309" t="s">
        <v>141</v>
      </c>
      <c r="B174" s="83" t="s">
        <v>283</v>
      </c>
      <c r="C174" s="90" t="s">
        <v>122</v>
      </c>
      <c r="D174" s="52">
        <v>1.8199999999999998</v>
      </c>
      <c r="E174" s="196"/>
      <c r="F174" s="208"/>
      <c r="G174" s="209"/>
      <c r="J174" s="41"/>
    </row>
    <row r="175" spans="1:13" s="14" customFormat="1" ht="15" x14ac:dyDescent="0.25">
      <c r="A175" s="309" t="s">
        <v>142</v>
      </c>
      <c r="B175" s="83" t="s">
        <v>284</v>
      </c>
      <c r="C175" s="90" t="s">
        <v>122</v>
      </c>
      <c r="D175" s="52">
        <v>1.6099999999999999</v>
      </c>
      <c r="E175" s="196"/>
      <c r="F175" s="208"/>
      <c r="G175" s="209"/>
      <c r="J175" s="41"/>
    </row>
    <row r="176" spans="1:13" s="14" customFormat="1" ht="15" x14ac:dyDescent="0.25">
      <c r="A176" s="309" t="s">
        <v>143</v>
      </c>
      <c r="B176" s="83" t="s">
        <v>524</v>
      </c>
      <c r="C176" s="90" t="s">
        <v>122</v>
      </c>
      <c r="D176" s="52">
        <v>1.4</v>
      </c>
      <c r="E176" s="196"/>
      <c r="F176" s="208"/>
      <c r="G176" s="209"/>
      <c r="J176" s="41"/>
    </row>
    <row r="177" spans="1:18" ht="13.5" x14ac:dyDescent="0.2">
      <c r="A177" s="309" t="s">
        <v>144</v>
      </c>
      <c r="B177" s="59" t="s">
        <v>341</v>
      </c>
      <c r="C177" s="90" t="s">
        <v>122</v>
      </c>
      <c r="D177" s="52">
        <v>181.60000000000002</v>
      </c>
      <c r="E177" s="196"/>
      <c r="F177" s="199"/>
      <c r="G177" s="200"/>
      <c r="I177" s="23">
        <f>32.2*4+4.02*2+4.08*2+1.8*2</f>
        <v>148.6</v>
      </c>
      <c r="J177" s="18">
        <f>I177*0.25*0.45</f>
        <v>16.717500000000001</v>
      </c>
      <c r="K177" s="18"/>
      <c r="L177" s="43"/>
      <c r="M177" s="16"/>
      <c r="N177" s="43"/>
    </row>
    <row r="178" spans="1:18" x14ac:dyDescent="0.2">
      <c r="A178" s="311" t="s">
        <v>404</v>
      </c>
      <c r="B178" s="239" t="s">
        <v>59</v>
      </c>
      <c r="C178" s="240"/>
      <c r="D178" s="241"/>
      <c r="E178" s="216"/>
      <c r="F178" s="217"/>
      <c r="G178" s="218"/>
    </row>
    <row r="179" spans="1:18" x14ac:dyDescent="0.2">
      <c r="A179" s="309"/>
      <c r="B179" s="63" t="s">
        <v>138</v>
      </c>
      <c r="C179" s="64"/>
      <c r="D179" s="65"/>
      <c r="E179" s="216"/>
      <c r="F179" s="217"/>
      <c r="G179" s="218"/>
    </row>
    <row r="180" spans="1:18" ht="13.5" x14ac:dyDescent="0.2">
      <c r="A180" s="309" t="s">
        <v>135</v>
      </c>
      <c r="B180" s="60" t="s">
        <v>286</v>
      </c>
      <c r="C180" s="90" t="s">
        <v>122</v>
      </c>
      <c r="D180" s="62">
        <v>17.360000000000003</v>
      </c>
      <c r="E180" s="196"/>
      <c r="F180" s="199"/>
      <c r="G180" s="200"/>
      <c r="I180" s="13">
        <f>0.2*0.2*4.275*35</f>
        <v>5.9850000000000012</v>
      </c>
      <c r="N180" s="13">
        <v>10</v>
      </c>
      <c r="O180" s="13">
        <v>1</v>
      </c>
      <c r="P180" s="13">
        <v>10</v>
      </c>
      <c r="Q180" s="13">
        <f>P180*O180</f>
        <v>10</v>
      </c>
      <c r="R180" s="13">
        <f>Q180*N180</f>
        <v>100</v>
      </c>
    </row>
    <row r="181" spans="1:18" ht="13.5" x14ac:dyDescent="0.2">
      <c r="A181" s="309" t="s">
        <v>136</v>
      </c>
      <c r="B181" s="60" t="s">
        <v>287</v>
      </c>
      <c r="C181" s="90" t="s">
        <v>122</v>
      </c>
      <c r="D181" s="62">
        <v>16.66</v>
      </c>
      <c r="E181" s="196"/>
      <c r="F181" s="199"/>
      <c r="G181" s="200"/>
      <c r="I181" s="13">
        <f>0.4*0.2*4.275*5</f>
        <v>1.7100000000000004</v>
      </c>
      <c r="N181" s="13">
        <v>-10</v>
      </c>
      <c r="O181" s="13">
        <v>1</v>
      </c>
      <c r="P181" s="13">
        <v>30</v>
      </c>
      <c r="Q181" s="13">
        <f>P181*O181</f>
        <v>30</v>
      </c>
      <c r="R181" s="13">
        <f>Q181*N181</f>
        <v>-300</v>
      </c>
    </row>
    <row r="182" spans="1:18" ht="13.5" x14ac:dyDescent="0.2">
      <c r="A182" s="309" t="s">
        <v>140</v>
      </c>
      <c r="B182" s="60" t="s">
        <v>288</v>
      </c>
      <c r="C182" s="90" t="s">
        <v>122</v>
      </c>
      <c r="D182" s="62">
        <v>75.599999999999994</v>
      </c>
      <c r="E182" s="196"/>
      <c r="F182" s="199"/>
      <c r="G182" s="200"/>
      <c r="I182" s="13">
        <f>0.15*0.15*3.825*6</f>
        <v>0.51637500000000003</v>
      </c>
      <c r="R182" s="13">
        <f>SUM(R180:R181)</f>
        <v>-200</v>
      </c>
    </row>
    <row r="183" spans="1:18" ht="13.5" x14ac:dyDescent="0.2">
      <c r="A183" s="309" t="s">
        <v>141</v>
      </c>
      <c r="B183" s="60" t="s">
        <v>289</v>
      </c>
      <c r="C183" s="90" t="s">
        <v>122</v>
      </c>
      <c r="D183" s="62">
        <v>50.400000000000006</v>
      </c>
      <c r="E183" s="196"/>
      <c r="F183" s="199"/>
      <c r="G183" s="200"/>
      <c r="I183" s="13">
        <f>0.15*0.15*3.825*6</f>
        <v>0.51637500000000003</v>
      </c>
    </row>
    <row r="184" spans="1:18" x14ac:dyDescent="0.2">
      <c r="A184" s="309"/>
      <c r="B184" s="63" t="s">
        <v>161</v>
      </c>
      <c r="C184" s="64"/>
      <c r="D184" s="65"/>
      <c r="E184" s="216"/>
      <c r="F184" s="199"/>
      <c r="G184" s="200"/>
    </row>
    <row r="185" spans="1:18" ht="13.5" x14ac:dyDescent="0.2">
      <c r="A185" s="309" t="s">
        <v>142</v>
      </c>
      <c r="B185" s="60" t="s">
        <v>225</v>
      </c>
      <c r="C185" s="90" t="s">
        <v>122</v>
      </c>
      <c r="D185" s="62">
        <v>28.5</v>
      </c>
      <c r="E185" s="196"/>
      <c r="F185" s="199"/>
      <c r="G185" s="200"/>
    </row>
    <row r="186" spans="1:18" s="242" customFormat="1" x14ac:dyDescent="0.2">
      <c r="A186" s="311"/>
      <c r="B186" s="239" t="s">
        <v>163</v>
      </c>
      <c r="C186" s="240"/>
      <c r="D186" s="241"/>
      <c r="E186" s="216"/>
      <c r="F186" s="199"/>
      <c r="G186" s="200"/>
    </row>
    <row r="187" spans="1:18" s="242" customFormat="1" ht="13.5" x14ac:dyDescent="0.2">
      <c r="A187" s="311" t="s">
        <v>143</v>
      </c>
      <c r="B187" s="236" t="s">
        <v>261</v>
      </c>
      <c r="C187" s="243" t="s">
        <v>122</v>
      </c>
      <c r="D187" s="237">
        <v>8.8000000000000007</v>
      </c>
      <c r="E187" s="196"/>
      <c r="F187" s="199"/>
      <c r="G187" s="200"/>
      <c r="I187" s="242">
        <f>(32.2+11.075)*2*0.1</f>
        <v>8.6550000000000011</v>
      </c>
      <c r="J187" s="242">
        <f>32.2*0.15*2</f>
        <v>9.66</v>
      </c>
      <c r="K187" s="242">
        <f>SUM(I187:J187)</f>
        <v>18.315000000000001</v>
      </c>
    </row>
    <row r="188" spans="1:18" x14ac:dyDescent="0.2">
      <c r="A188" s="311" t="s">
        <v>405</v>
      </c>
      <c r="B188" s="239" t="s">
        <v>60</v>
      </c>
      <c r="C188" s="240"/>
      <c r="D188" s="241"/>
      <c r="E188" s="216"/>
      <c r="F188" s="217"/>
      <c r="G188" s="218"/>
    </row>
    <row r="189" spans="1:18" x14ac:dyDescent="0.2">
      <c r="A189" s="309"/>
      <c r="B189" s="63" t="s">
        <v>226</v>
      </c>
      <c r="C189" s="64"/>
      <c r="D189" s="65"/>
      <c r="E189" s="216"/>
      <c r="F189" s="217"/>
      <c r="G189" s="218"/>
    </row>
    <row r="190" spans="1:18" ht="13.5" x14ac:dyDescent="0.2">
      <c r="A190" s="309" t="s">
        <v>135</v>
      </c>
      <c r="B190" s="60" t="s">
        <v>290</v>
      </c>
      <c r="C190" s="90" t="s">
        <v>122</v>
      </c>
      <c r="D190" s="62">
        <v>31.800000000000004</v>
      </c>
      <c r="E190" s="196"/>
      <c r="F190" s="199"/>
      <c r="G190" s="200"/>
      <c r="I190" s="13">
        <f>3.82*5+4.08*5</f>
        <v>39.5</v>
      </c>
      <c r="J190" s="13">
        <f t="shared" ref="J190" si="2">I190*0.2*0.3</f>
        <v>2.37</v>
      </c>
    </row>
    <row r="191" spans="1:18" ht="13.5" x14ac:dyDescent="0.2">
      <c r="A191" s="309" t="s">
        <v>136</v>
      </c>
      <c r="B191" s="60" t="s">
        <v>291</v>
      </c>
      <c r="C191" s="90" t="s">
        <v>122</v>
      </c>
      <c r="D191" s="62">
        <v>61.500000000000007</v>
      </c>
      <c r="E191" s="196"/>
      <c r="F191" s="199"/>
      <c r="G191" s="200"/>
      <c r="I191" s="13">
        <f>3*10</f>
        <v>30</v>
      </c>
      <c r="J191" s="13">
        <f>I191*0.2*0.3</f>
        <v>1.7999999999999998</v>
      </c>
    </row>
    <row r="192" spans="1:18" ht="13.5" x14ac:dyDescent="0.2">
      <c r="A192" s="309" t="s">
        <v>140</v>
      </c>
      <c r="B192" s="60" t="s">
        <v>292</v>
      </c>
      <c r="C192" s="90" t="s">
        <v>122</v>
      </c>
      <c r="D192" s="62">
        <v>24.300000000000004</v>
      </c>
      <c r="E192" s="196"/>
      <c r="F192" s="199"/>
      <c r="G192" s="200"/>
      <c r="I192" s="13">
        <v>3</v>
      </c>
      <c r="J192" s="13">
        <f>I192*0.2*0.4</f>
        <v>0.24000000000000005</v>
      </c>
    </row>
    <row r="193" spans="1:18" x14ac:dyDescent="0.2">
      <c r="A193" s="309"/>
      <c r="B193" s="63" t="s">
        <v>227</v>
      </c>
      <c r="C193" s="64"/>
      <c r="D193" s="65"/>
      <c r="E193" s="216"/>
      <c r="F193" s="199"/>
      <c r="G193" s="200"/>
    </row>
    <row r="194" spans="1:18" ht="13.5" x14ac:dyDescent="0.2">
      <c r="A194" s="309" t="s">
        <v>141</v>
      </c>
      <c r="B194" s="60" t="str">
        <f>B149</f>
        <v>175mm thick R.c.c. Floor Slab</v>
      </c>
      <c r="C194" s="90" t="s">
        <v>122</v>
      </c>
      <c r="D194" s="62">
        <v>351.73499999999996</v>
      </c>
      <c r="E194" s="196"/>
      <c r="F194" s="199"/>
      <c r="G194" s="200"/>
      <c r="I194" s="13">
        <f>29*8.5</f>
        <v>246.5</v>
      </c>
      <c r="J194" s="13">
        <f>32.2*2.2</f>
        <v>70.840000000000018</v>
      </c>
      <c r="K194" s="13">
        <f>SUM(I194:J194)</f>
        <v>317.34000000000003</v>
      </c>
      <c r="L194" s="13">
        <f>K194*0.15</f>
        <v>47.601000000000006</v>
      </c>
    </row>
    <row r="195" spans="1:18" ht="13.5" x14ac:dyDescent="0.2">
      <c r="A195" s="309" t="s">
        <v>142</v>
      </c>
      <c r="B195" s="60" t="str">
        <f>B150</f>
        <v>155mm thick R.c.c. Floor Slab</v>
      </c>
      <c r="C195" s="90" t="s">
        <v>122</v>
      </c>
      <c r="D195" s="62">
        <v>84.34875000000001</v>
      </c>
      <c r="E195" s="196"/>
      <c r="F195" s="199"/>
      <c r="G195" s="200"/>
      <c r="I195" s="13">
        <f>29*8.5</f>
        <v>246.5</v>
      </c>
      <c r="J195" s="13">
        <f>32.2*2.2</f>
        <v>70.840000000000018</v>
      </c>
      <c r="K195" s="13">
        <f>SUM(I195:J195)</f>
        <v>317.34000000000003</v>
      </c>
      <c r="L195" s="13">
        <f>K195*0.15</f>
        <v>47.601000000000006</v>
      </c>
    </row>
    <row r="196" spans="1:18" x14ac:dyDescent="0.2">
      <c r="A196" s="309"/>
      <c r="B196" s="63" t="s">
        <v>138</v>
      </c>
      <c r="C196" s="64"/>
      <c r="D196" s="65"/>
      <c r="E196" s="216"/>
      <c r="F196" s="217"/>
      <c r="G196" s="218"/>
    </row>
    <row r="197" spans="1:18" ht="13.5" x14ac:dyDescent="0.2">
      <c r="A197" s="309" t="s">
        <v>143</v>
      </c>
      <c r="B197" s="60" t="s">
        <v>286</v>
      </c>
      <c r="C197" s="90" t="s">
        <v>122</v>
      </c>
      <c r="D197" s="62">
        <v>14.880000000000003</v>
      </c>
      <c r="E197" s="196"/>
      <c r="F197" s="199"/>
      <c r="G197" s="200"/>
      <c r="I197" s="13">
        <f>0.2*0.2*4.275*35</f>
        <v>5.9850000000000012</v>
      </c>
      <c r="N197" s="13">
        <v>10</v>
      </c>
      <c r="O197" s="13">
        <v>1</v>
      </c>
      <c r="P197" s="13">
        <v>10</v>
      </c>
      <c r="Q197" s="13">
        <f>P197*O197</f>
        <v>10</v>
      </c>
      <c r="R197" s="13">
        <f>Q197*N197</f>
        <v>100</v>
      </c>
    </row>
    <row r="198" spans="1:18" ht="13.5" x14ac:dyDescent="0.2">
      <c r="A198" s="309" t="s">
        <v>144</v>
      </c>
      <c r="B198" s="60" t="s">
        <v>287</v>
      </c>
      <c r="C198" s="90" t="s">
        <v>122</v>
      </c>
      <c r="D198" s="62">
        <v>14.28</v>
      </c>
      <c r="E198" s="196"/>
      <c r="F198" s="199"/>
      <c r="G198" s="200"/>
      <c r="I198" s="13">
        <f>0.4*0.2*4.275*5</f>
        <v>1.7100000000000004</v>
      </c>
      <c r="N198" s="13">
        <v>-10</v>
      </c>
      <c r="O198" s="13">
        <v>1</v>
      </c>
      <c r="P198" s="13">
        <v>30</v>
      </c>
      <c r="Q198" s="13">
        <f>P198*O198</f>
        <v>30</v>
      </c>
      <c r="R198" s="13">
        <f>Q198*N198</f>
        <v>-300</v>
      </c>
    </row>
    <row r="199" spans="1:18" ht="13.5" x14ac:dyDescent="0.2">
      <c r="A199" s="309" t="s">
        <v>145</v>
      </c>
      <c r="B199" s="60" t="s">
        <v>288</v>
      </c>
      <c r="C199" s="90" t="s">
        <v>122</v>
      </c>
      <c r="D199" s="62">
        <v>64.800000000000011</v>
      </c>
      <c r="E199" s="196"/>
      <c r="F199" s="199"/>
      <c r="G199" s="200"/>
      <c r="I199" s="13">
        <f>0.15*0.15*3.825*6</f>
        <v>0.51637500000000003</v>
      </c>
      <c r="R199" s="13">
        <f>SUM(R197:R198)</f>
        <v>-200</v>
      </c>
    </row>
    <row r="200" spans="1:18" ht="13.5" x14ac:dyDescent="0.2">
      <c r="A200" s="309" t="s">
        <v>146</v>
      </c>
      <c r="B200" s="60" t="s">
        <v>289</v>
      </c>
      <c r="C200" s="90" t="s">
        <v>122</v>
      </c>
      <c r="D200" s="62">
        <v>43.2</v>
      </c>
      <c r="E200" s="196"/>
      <c r="F200" s="199"/>
      <c r="G200" s="200"/>
      <c r="I200" s="13">
        <f>0.15*0.15*3.825*6</f>
        <v>0.51637500000000003</v>
      </c>
    </row>
    <row r="201" spans="1:18" x14ac:dyDescent="0.2">
      <c r="A201" s="311" t="s">
        <v>406</v>
      </c>
      <c r="B201" s="239" t="s">
        <v>213</v>
      </c>
      <c r="C201" s="240"/>
      <c r="D201" s="241"/>
      <c r="E201" s="216"/>
      <c r="F201" s="217"/>
      <c r="G201" s="218"/>
    </row>
    <row r="202" spans="1:18" x14ac:dyDescent="0.2">
      <c r="A202" s="309"/>
      <c r="B202" s="63" t="s">
        <v>223</v>
      </c>
      <c r="C202" s="64"/>
      <c r="D202" s="65"/>
      <c r="E202" s="216"/>
      <c r="F202" s="217"/>
      <c r="G202" s="218"/>
    </row>
    <row r="203" spans="1:18" ht="13.5" x14ac:dyDescent="0.2">
      <c r="A203" s="309" t="s">
        <v>135</v>
      </c>
      <c r="B203" s="60" t="str">
        <f t="shared" ref="B203:B204" si="3">B158</f>
        <v>RB1 @ Roof beam level 1</v>
      </c>
      <c r="C203" s="90" t="s">
        <v>122</v>
      </c>
      <c r="D203" s="62">
        <v>40.599999999999994</v>
      </c>
      <c r="E203" s="196"/>
      <c r="F203" s="199"/>
      <c r="G203" s="200"/>
      <c r="I203" s="13">
        <f>3.82*5+4.08*5</f>
        <v>39.5</v>
      </c>
      <c r="J203" s="13">
        <f t="shared" ref="J203:J204" si="4">I203*0.2*0.3</f>
        <v>2.37</v>
      </c>
    </row>
    <row r="204" spans="1:18" ht="13.5" x14ac:dyDescent="0.2">
      <c r="A204" s="309" t="s">
        <v>136</v>
      </c>
      <c r="B204" s="60" t="str">
        <f t="shared" si="3"/>
        <v>RB1 @ Roof beam level 2</v>
      </c>
      <c r="C204" s="90" t="s">
        <v>122</v>
      </c>
      <c r="D204" s="62">
        <v>107.8</v>
      </c>
      <c r="E204" s="196"/>
      <c r="F204" s="199"/>
      <c r="G204" s="200"/>
      <c r="I204" s="13">
        <f>3.82*5+4.08*5</f>
        <v>39.5</v>
      </c>
      <c r="J204" s="13">
        <f t="shared" si="4"/>
        <v>2.37</v>
      </c>
    </row>
    <row r="205" spans="1:18" ht="13.5" x14ac:dyDescent="0.2">
      <c r="A205" s="309" t="s">
        <v>140</v>
      </c>
      <c r="B205" s="60" t="s">
        <v>293</v>
      </c>
      <c r="C205" s="90" t="s">
        <v>122</v>
      </c>
      <c r="D205" s="62">
        <v>10</v>
      </c>
      <c r="E205" s="196"/>
      <c r="F205" s="199"/>
      <c r="G205" s="200"/>
      <c r="I205" s="13">
        <v>3</v>
      </c>
      <c r="J205" s="13">
        <f>I205*0.2*0.4</f>
        <v>0.24000000000000005</v>
      </c>
    </row>
    <row r="206" spans="1:18" ht="15" x14ac:dyDescent="0.25">
      <c r="A206" s="309" t="s">
        <v>141</v>
      </c>
      <c r="B206" t="s">
        <v>340</v>
      </c>
      <c r="C206" s="90" t="s">
        <v>122</v>
      </c>
      <c r="D206" s="62">
        <v>13.2</v>
      </c>
      <c r="E206" s="196"/>
      <c r="F206" s="199"/>
      <c r="G206" s="200"/>
      <c r="I206" s="13">
        <v>3</v>
      </c>
      <c r="J206" s="13">
        <f>I206*0.2*0.4</f>
        <v>0.24000000000000005</v>
      </c>
    </row>
    <row r="207" spans="1:18" x14ac:dyDescent="0.2">
      <c r="A207" s="309"/>
      <c r="B207" s="60"/>
      <c r="C207" s="90"/>
      <c r="D207" s="62"/>
      <c r="E207" s="196"/>
      <c r="F207" s="199"/>
      <c r="G207" s="200"/>
    </row>
    <row r="208" spans="1:18" x14ac:dyDescent="0.2">
      <c r="A208" s="309"/>
      <c r="B208" s="60"/>
      <c r="C208" s="90"/>
      <c r="D208" s="62"/>
      <c r="E208" s="196"/>
      <c r="F208" s="199"/>
      <c r="G208" s="200"/>
    </row>
    <row r="209" spans="1:11" x14ac:dyDescent="0.2">
      <c r="A209" s="313"/>
      <c r="B209" s="145"/>
      <c r="C209" s="146"/>
      <c r="D209" s="144"/>
      <c r="E209" s="196"/>
      <c r="F209" s="199"/>
      <c r="G209" s="200"/>
    </row>
    <row r="210" spans="1:11" s="242" customFormat="1" x14ac:dyDescent="0.2">
      <c r="A210" s="307" t="s">
        <v>407</v>
      </c>
      <c r="B210" s="249" t="s">
        <v>9</v>
      </c>
      <c r="C210" s="248"/>
      <c r="D210" s="219"/>
      <c r="E210" s="196"/>
      <c r="F210" s="219"/>
      <c r="G210" s="220"/>
    </row>
    <row r="211" spans="1:11" ht="48" x14ac:dyDescent="0.2">
      <c r="A211" s="130"/>
      <c r="B211" s="89" t="s">
        <v>90</v>
      </c>
      <c r="C211" s="89"/>
      <c r="D211" s="89"/>
      <c r="E211" s="223"/>
      <c r="F211" s="223"/>
      <c r="G211" s="224"/>
    </row>
    <row r="212" spans="1:11" ht="36" x14ac:dyDescent="0.2">
      <c r="A212" s="302"/>
      <c r="B212" s="89" t="s">
        <v>91</v>
      </c>
      <c r="C212" s="89"/>
      <c r="D212" s="89"/>
      <c r="E212" s="223"/>
      <c r="F212" s="223"/>
      <c r="G212" s="224"/>
    </row>
    <row r="213" spans="1:11" ht="48" x14ac:dyDescent="0.2">
      <c r="A213" s="130"/>
      <c r="B213" s="89" t="s">
        <v>224</v>
      </c>
      <c r="C213" s="89"/>
      <c r="D213" s="89"/>
      <c r="E213" s="223"/>
      <c r="F213" s="223"/>
      <c r="G213" s="224"/>
    </row>
    <row r="214" spans="1:11" x14ac:dyDescent="0.2">
      <c r="A214" s="311"/>
      <c r="B214" s="239" t="s">
        <v>185</v>
      </c>
      <c r="C214" s="327"/>
      <c r="D214" s="237"/>
      <c r="E214" s="206"/>
      <c r="F214" s="199"/>
      <c r="G214" s="200"/>
    </row>
    <row r="215" spans="1:11" s="39" customFormat="1" ht="17.25" customHeight="1" x14ac:dyDescent="0.2">
      <c r="A215" s="311" t="s">
        <v>408</v>
      </c>
      <c r="B215" s="239" t="s">
        <v>56</v>
      </c>
      <c r="C215" s="327"/>
      <c r="D215" s="341"/>
      <c r="E215" s="238"/>
      <c r="F215" s="208"/>
      <c r="G215" s="209"/>
    </row>
    <row r="216" spans="1:11" s="14" customFormat="1" ht="15" x14ac:dyDescent="0.25">
      <c r="A216" s="130" t="s">
        <v>135</v>
      </c>
      <c r="B216" s="83" t="s">
        <v>280</v>
      </c>
      <c r="C216" s="61"/>
      <c r="D216" s="52"/>
      <c r="E216" s="196"/>
      <c r="F216" s="208"/>
      <c r="G216" s="209"/>
      <c r="J216" s="41"/>
    </row>
    <row r="217" spans="1:11" x14ac:dyDescent="0.2">
      <c r="A217" s="309"/>
      <c r="B217" s="60" t="s">
        <v>187</v>
      </c>
      <c r="C217" s="61" t="s">
        <v>8</v>
      </c>
      <c r="D217" s="52">
        <v>205.62559999999999</v>
      </c>
      <c r="E217" s="206"/>
      <c r="F217" s="199"/>
      <c r="G217" s="200"/>
      <c r="I217" s="23">
        <f>D217*0.888*6</f>
        <v>1095.5731968</v>
      </c>
      <c r="J217" s="13">
        <f>12+26+31+10+3+12+35+12</f>
        <v>141</v>
      </c>
      <c r="K217" s="23"/>
    </row>
    <row r="218" spans="1:11" s="14" customFormat="1" ht="15" x14ac:dyDescent="0.25">
      <c r="A218" s="130" t="s">
        <v>136</v>
      </c>
      <c r="B218" s="83" t="s">
        <v>281</v>
      </c>
      <c r="C218" s="61"/>
      <c r="D218" s="52"/>
      <c r="E218" s="196"/>
      <c r="F218" s="208"/>
      <c r="G218" s="209"/>
      <c r="J218" s="41"/>
    </row>
    <row r="219" spans="1:11" x14ac:dyDescent="0.2">
      <c r="A219" s="309"/>
      <c r="B219" s="60" t="s">
        <v>187</v>
      </c>
      <c r="C219" s="61" t="s">
        <v>8</v>
      </c>
      <c r="D219" s="52">
        <v>68.589333333333329</v>
      </c>
      <c r="E219" s="206"/>
      <c r="F219" s="199"/>
      <c r="G219" s="200"/>
      <c r="I219" s="23">
        <f>D219*0.888*6</f>
        <v>365.44396799999998</v>
      </c>
      <c r="J219" s="13">
        <f>12+26+31+10+3+12+35+12</f>
        <v>141</v>
      </c>
      <c r="K219" s="23"/>
    </row>
    <row r="220" spans="1:11" s="14" customFormat="1" ht="15" x14ac:dyDescent="0.25">
      <c r="A220" s="130" t="s">
        <v>140</v>
      </c>
      <c r="B220" s="83" t="s">
        <v>282</v>
      </c>
      <c r="C220" s="61"/>
      <c r="D220" s="52"/>
      <c r="E220" s="196"/>
      <c r="F220" s="208"/>
      <c r="G220" s="209"/>
      <c r="J220" s="41"/>
    </row>
    <row r="221" spans="1:11" x14ac:dyDescent="0.2">
      <c r="A221" s="309"/>
      <c r="B221" s="60" t="s">
        <v>187</v>
      </c>
      <c r="C221" s="61" t="s">
        <v>8</v>
      </c>
      <c r="D221" s="52">
        <v>49.899333333333331</v>
      </c>
      <c r="E221" s="206"/>
      <c r="F221" s="199"/>
      <c r="G221" s="200"/>
      <c r="I221" s="23">
        <f>D221*0.888*6</f>
        <v>265.86364800000001</v>
      </c>
      <c r="J221" s="13">
        <f>12+26+31+10+3+12+35+12</f>
        <v>141</v>
      </c>
      <c r="K221" s="23"/>
    </row>
    <row r="222" spans="1:11" s="14" customFormat="1" ht="15" x14ac:dyDescent="0.25">
      <c r="A222" s="130" t="s">
        <v>141</v>
      </c>
      <c r="B222" s="83" t="s">
        <v>283</v>
      </c>
      <c r="C222" s="61"/>
      <c r="D222" s="52"/>
      <c r="E222" s="196"/>
      <c r="F222" s="208"/>
      <c r="G222" s="209"/>
      <c r="J222" s="41"/>
    </row>
    <row r="223" spans="1:11" x14ac:dyDescent="0.2">
      <c r="A223" s="309"/>
      <c r="B223" s="60" t="s">
        <v>187</v>
      </c>
      <c r="C223" s="61" t="s">
        <v>8</v>
      </c>
      <c r="D223" s="52">
        <v>240.65600000000009</v>
      </c>
      <c r="E223" s="206"/>
      <c r="F223" s="199"/>
      <c r="G223" s="200"/>
      <c r="I223" s="23">
        <f>D223*0.888*6</f>
        <v>1282.2151680000006</v>
      </c>
      <c r="J223" s="13">
        <f>12+26+31+10+3+12+35+12</f>
        <v>141</v>
      </c>
      <c r="K223" s="23"/>
    </row>
    <row r="224" spans="1:11" s="14" customFormat="1" ht="15" x14ac:dyDescent="0.25">
      <c r="A224" s="130" t="s">
        <v>142</v>
      </c>
      <c r="B224" s="83" t="s">
        <v>284</v>
      </c>
      <c r="C224" s="61"/>
      <c r="D224" s="52"/>
      <c r="E224" s="196"/>
      <c r="F224" s="208"/>
      <c r="G224" s="209"/>
      <c r="J224" s="41"/>
    </row>
    <row r="225" spans="1:18" x14ac:dyDescent="0.2">
      <c r="A225" s="309"/>
      <c r="B225" s="60" t="s">
        <v>187</v>
      </c>
      <c r="C225" s="61" t="s">
        <v>8</v>
      </c>
      <c r="D225" s="52">
        <v>219.7113333333333</v>
      </c>
      <c r="E225" s="206"/>
      <c r="F225" s="199"/>
      <c r="G225" s="200"/>
      <c r="I225" s="23">
        <f>D225*0.888*6</f>
        <v>1170.6219839999999</v>
      </c>
      <c r="J225" s="13">
        <f>12+26+31+10+3+12+35+12</f>
        <v>141</v>
      </c>
      <c r="K225" s="23"/>
    </row>
    <row r="226" spans="1:18" s="14" customFormat="1" ht="15" x14ac:dyDescent="0.25">
      <c r="A226" s="130" t="s">
        <v>143</v>
      </c>
      <c r="B226" s="83" t="s">
        <v>524</v>
      </c>
      <c r="C226" s="61"/>
      <c r="D226" s="52"/>
      <c r="E226" s="196"/>
      <c r="F226" s="208"/>
      <c r="G226" s="209"/>
      <c r="J226" s="41"/>
    </row>
    <row r="227" spans="1:18" x14ac:dyDescent="0.2">
      <c r="A227" s="309"/>
      <c r="B227" s="60" t="s">
        <v>188</v>
      </c>
      <c r="C227" s="61" t="s">
        <v>8</v>
      </c>
      <c r="D227" s="52">
        <v>132.26666666666668</v>
      </c>
      <c r="E227" s="206"/>
      <c r="F227" s="199"/>
      <c r="G227" s="200"/>
      <c r="I227" s="23">
        <f>D227*0.888*6</f>
        <v>704.71680000000003</v>
      </c>
      <c r="J227" s="13">
        <f>12+26+31+10+3+12+35+12</f>
        <v>141</v>
      </c>
      <c r="K227" s="23"/>
    </row>
    <row r="228" spans="1:18" x14ac:dyDescent="0.2">
      <c r="A228" s="130" t="s">
        <v>144</v>
      </c>
      <c r="B228" s="59" t="s">
        <v>341</v>
      </c>
      <c r="C228" s="61"/>
      <c r="D228" s="52"/>
      <c r="E228" s="196"/>
      <c r="F228" s="199"/>
      <c r="G228" s="200"/>
      <c r="I228" s="23">
        <f>32.2*4+4.02*2+4.08*2+1.8*2</f>
        <v>148.6</v>
      </c>
      <c r="J228" s="18">
        <f>I228*0.25*0.45</f>
        <v>16.717500000000001</v>
      </c>
      <c r="K228" s="18"/>
      <c r="L228" s="43"/>
      <c r="M228" s="16"/>
      <c r="N228" s="43"/>
    </row>
    <row r="229" spans="1:18" x14ac:dyDescent="0.2">
      <c r="A229" s="309"/>
      <c r="B229" s="60" t="s">
        <v>186</v>
      </c>
      <c r="C229" s="61" t="s">
        <v>8</v>
      </c>
      <c r="D229" s="52">
        <v>2869.28</v>
      </c>
      <c r="E229" s="206"/>
      <c r="F229" s="199"/>
      <c r="G229" s="200"/>
      <c r="I229" s="23">
        <f>D229*0.888*6</f>
        <v>15287.523840000002</v>
      </c>
      <c r="J229" s="13">
        <f>12+26+31+10+3+12+35+12</f>
        <v>141</v>
      </c>
      <c r="K229" s="23"/>
    </row>
    <row r="230" spans="1:18" x14ac:dyDescent="0.2">
      <c r="A230" s="309"/>
      <c r="B230" s="60" t="s">
        <v>294</v>
      </c>
      <c r="C230" s="61" t="s">
        <v>8</v>
      </c>
      <c r="D230" s="52">
        <v>873.49600000000009</v>
      </c>
      <c r="E230" s="206"/>
      <c r="F230" s="199"/>
      <c r="G230" s="200"/>
      <c r="I230" s="23">
        <f>D230*0.888*6</f>
        <v>4653.9866880000009</v>
      </c>
      <c r="J230" s="13">
        <f>12+26+31+10+3+12+35+12</f>
        <v>141</v>
      </c>
      <c r="K230" s="23"/>
    </row>
    <row r="231" spans="1:18" x14ac:dyDescent="0.2">
      <c r="A231" s="311" t="s">
        <v>409</v>
      </c>
      <c r="B231" s="239" t="s">
        <v>59</v>
      </c>
      <c r="C231" s="327"/>
      <c r="D231" s="237"/>
      <c r="E231" s="206"/>
      <c r="F231" s="199"/>
      <c r="G231" s="200"/>
    </row>
    <row r="232" spans="1:18" x14ac:dyDescent="0.2">
      <c r="A232" s="314"/>
      <c r="B232" s="91" t="s">
        <v>138</v>
      </c>
      <c r="C232" s="92"/>
      <c r="D232" s="93"/>
      <c r="E232" s="216"/>
      <c r="F232" s="199"/>
      <c r="G232" s="200"/>
    </row>
    <row r="233" spans="1:18" x14ac:dyDescent="0.2">
      <c r="A233" s="130" t="s">
        <v>135</v>
      </c>
      <c r="B233" s="60" t="s">
        <v>286</v>
      </c>
      <c r="C233" s="90"/>
      <c r="D233" s="62"/>
      <c r="E233" s="196"/>
      <c r="F233" s="199"/>
      <c r="G233" s="200"/>
      <c r="I233" s="13">
        <f>0.2*0.2*4.275*35</f>
        <v>5.9850000000000012</v>
      </c>
      <c r="N233" s="13">
        <v>10</v>
      </c>
      <c r="O233" s="13">
        <v>1</v>
      </c>
      <c r="P233" s="13">
        <v>10</v>
      </c>
      <c r="Q233" s="13">
        <f>P233*O233</f>
        <v>10</v>
      </c>
      <c r="R233" s="13">
        <f>Q233*N233</f>
        <v>100</v>
      </c>
    </row>
    <row r="234" spans="1:18" x14ac:dyDescent="0.2">
      <c r="A234" s="309"/>
      <c r="B234" s="60" t="s">
        <v>186</v>
      </c>
      <c r="C234" s="61" t="s">
        <v>8</v>
      </c>
      <c r="D234" s="52">
        <v>176.96</v>
      </c>
      <c r="E234" s="206"/>
      <c r="F234" s="199"/>
      <c r="G234" s="200"/>
      <c r="I234" s="23">
        <f>D234*0.888*6</f>
        <v>942.84287999999992</v>
      </c>
      <c r="J234" s="13">
        <f>12+26+31+10+3+12+35+12</f>
        <v>141</v>
      </c>
      <c r="K234" s="23"/>
    </row>
    <row r="235" spans="1:18" x14ac:dyDescent="0.2">
      <c r="A235" s="309"/>
      <c r="B235" s="60" t="s">
        <v>294</v>
      </c>
      <c r="C235" s="61" t="s">
        <v>8</v>
      </c>
      <c r="D235" s="52">
        <v>51.385600000000011</v>
      </c>
      <c r="E235" s="206"/>
      <c r="F235" s="199"/>
      <c r="G235" s="200"/>
      <c r="I235" s="23">
        <f>D235*0.888*6</f>
        <v>273.78247680000004</v>
      </c>
      <c r="J235" s="13">
        <f>12+26+31+10+3+12+35+12</f>
        <v>141</v>
      </c>
      <c r="K235" s="23"/>
    </row>
    <row r="236" spans="1:18" x14ac:dyDescent="0.2">
      <c r="A236" s="130" t="s">
        <v>136</v>
      </c>
      <c r="B236" s="60" t="s">
        <v>287</v>
      </c>
      <c r="C236" s="90"/>
      <c r="D236" s="62"/>
      <c r="E236" s="196"/>
      <c r="F236" s="199"/>
      <c r="G236" s="200"/>
      <c r="I236" s="13">
        <f>0.4*0.2*4.275*5</f>
        <v>1.7100000000000004</v>
      </c>
      <c r="N236" s="13">
        <v>-10</v>
      </c>
      <c r="O236" s="13">
        <v>1</v>
      </c>
      <c r="P236" s="13">
        <v>30</v>
      </c>
      <c r="Q236" s="13">
        <f>P236*O236</f>
        <v>30</v>
      </c>
      <c r="R236" s="13">
        <f>Q236*N236</f>
        <v>-300</v>
      </c>
    </row>
    <row r="237" spans="1:18" x14ac:dyDescent="0.2">
      <c r="A237" s="309"/>
      <c r="B237" s="60" t="s">
        <v>186</v>
      </c>
      <c r="C237" s="61" t="s">
        <v>8</v>
      </c>
      <c r="D237" s="52">
        <v>176.96</v>
      </c>
      <c r="E237" s="206"/>
      <c r="F237" s="199"/>
      <c r="G237" s="200"/>
      <c r="I237" s="23">
        <f>D237*0.888*6</f>
        <v>942.84287999999992</v>
      </c>
      <c r="J237" s="13">
        <f>12+26+31+10+3+12+35+12</f>
        <v>141</v>
      </c>
      <c r="K237" s="23"/>
    </row>
    <row r="238" spans="1:18" x14ac:dyDescent="0.2">
      <c r="A238" s="309"/>
      <c r="B238" s="60" t="s">
        <v>294</v>
      </c>
      <c r="C238" s="61" t="s">
        <v>8</v>
      </c>
      <c r="D238" s="52">
        <v>49.313600000000008</v>
      </c>
      <c r="E238" s="206"/>
      <c r="F238" s="199"/>
      <c r="G238" s="200"/>
      <c r="I238" s="23">
        <f>D238*0.888*6</f>
        <v>262.74286080000002</v>
      </c>
      <c r="J238" s="13">
        <f>12+26+31+10+3+12+35+12</f>
        <v>141</v>
      </c>
      <c r="K238" s="23"/>
    </row>
    <row r="239" spans="1:18" x14ac:dyDescent="0.2">
      <c r="A239" s="130" t="s">
        <v>140</v>
      </c>
      <c r="B239" s="60" t="s">
        <v>288</v>
      </c>
      <c r="C239" s="90"/>
      <c r="D239" s="62"/>
      <c r="E239" s="196"/>
      <c r="F239" s="199"/>
      <c r="G239" s="200"/>
      <c r="I239" s="13">
        <f>0.15*0.15*3.825*6</f>
        <v>0.51637500000000003</v>
      </c>
      <c r="R239" s="13">
        <f>SUM(R233:R236)</f>
        <v>-200</v>
      </c>
    </row>
    <row r="240" spans="1:18" x14ac:dyDescent="0.2">
      <c r="A240" s="309"/>
      <c r="B240" s="60" t="s">
        <v>186</v>
      </c>
      <c r="C240" s="61" t="s">
        <v>8</v>
      </c>
      <c r="D240" s="52">
        <v>530.88</v>
      </c>
      <c r="E240" s="206"/>
      <c r="F240" s="199"/>
      <c r="G240" s="200"/>
      <c r="I240" s="23">
        <f>D240*0.888*6</f>
        <v>2828.52864</v>
      </c>
      <c r="J240" s="13">
        <f>12+26+31+10+3+12+35+12</f>
        <v>141</v>
      </c>
      <c r="K240" s="23"/>
    </row>
    <row r="241" spans="1:13" x14ac:dyDescent="0.2">
      <c r="A241" s="309"/>
      <c r="B241" s="60" t="s">
        <v>294</v>
      </c>
      <c r="C241" s="61" t="s">
        <v>8</v>
      </c>
      <c r="D241" s="52">
        <v>111.88800000000003</v>
      </c>
      <c r="E241" s="206"/>
      <c r="F241" s="199"/>
      <c r="G241" s="200"/>
      <c r="I241" s="23">
        <f>D241*0.888*6</f>
        <v>596.13926400000014</v>
      </c>
      <c r="J241" s="13">
        <f>12+26+31+10+3+12+35+12</f>
        <v>141</v>
      </c>
      <c r="K241" s="23"/>
    </row>
    <row r="242" spans="1:13" x14ac:dyDescent="0.2">
      <c r="A242" s="130" t="s">
        <v>141</v>
      </c>
      <c r="B242" s="60" t="s">
        <v>289</v>
      </c>
      <c r="C242" s="90"/>
      <c r="D242" s="62"/>
      <c r="E242" s="196"/>
      <c r="F242" s="199"/>
      <c r="G242" s="200"/>
      <c r="I242" s="13">
        <f>0.15*0.15*3.825*6</f>
        <v>0.51637500000000003</v>
      </c>
    </row>
    <row r="243" spans="1:13" x14ac:dyDescent="0.2">
      <c r="A243" s="309"/>
      <c r="B243" s="60" t="s">
        <v>186</v>
      </c>
      <c r="C243" s="61" t="s">
        <v>8</v>
      </c>
      <c r="D243" s="52">
        <v>398.16</v>
      </c>
      <c r="E243" s="206"/>
      <c r="F243" s="199"/>
      <c r="G243" s="200"/>
      <c r="I243" s="23">
        <f>D243*0.888*6</f>
        <v>2121.3964799999999</v>
      </c>
      <c r="J243" s="13">
        <f>12+26+31+10+3+12+35+12</f>
        <v>141</v>
      </c>
      <c r="K243" s="23"/>
    </row>
    <row r="244" spans="1:13" x14ac:dyDescent="0.2">
      <c r="A244" s="309"/>
      <c r="B244" s="60" t="s">
        <v>294</v>
      </c>
      <c r="C244" s="61" t="s">
        <v>8</v>
      </c>
      <c r="D244" s="52">
        <v>74.591999999999999</v>
      </c>
      <c r="E244" s="206"/>
      <c r="F244" s="199"/>
      <c r="G244" s="200"/>
      <c r="I244" s="23">
        <f>D244*0.888*6</f>
        <v>397.426176</v>
      </c>
      <c r="J244" s="13">
        <f>12+26+31+10+3+12+35+12</f>
        <v>141</v>
      </c>
      <c r="K244" s="23"/>
    </row>
    <row r="245" spans="1:13" x14ac:dyDescent="0.2">
      <c r="A245" s="314"/>
      <c r="B245" s="91" t="s">
        <v>161</v>
      </c>
      <c r="C245" s="92"/>
      <c r="D245" s="93"/>
      <c r="E245" s="216"/>
      <c r="F245" s="199"/>
      <c r="G245" s="200"/>
      <c r="H245" s="29"/>
      <c r="I245" s="26"/>
    </row>
    <row r="246" spans="1:13" x14ac:dyDescent="0.2">
      <c r="A246" s="314" t="s">
        <v>142</v>
      </c>
      <c r="B246" s="60" t="s">
        <v>188</v>
      </c>
      <c r="C246" s="61" t="s">
        <v>8</v>
      </c>
      <c r="D246" s="52">
        <v>86.8</v>
      </c>
      <c r="E246" s="206"/>
      <c r="F246" s="199"/>
      <c r="G246" s="200"/>
      <c r="H246" s="29"/>
      <c r="I246" s="23">
        <f>0.617*D246*6</f>
        <v>321.33359999999999</v>
      </c>
    </row>
    <row r="247" spans="1:13" x14ac:dyDescent="0.2">
      <c r="A247" s="309"/>
      <c r="B247" s="63" t="s">
        <v>172</v>
      </c>
      <c r="C247" s="64"/>
      <c r="D247" s="65"/>
      <c r="E247" s="216"/>
      <c r="F247" s="199"/>
      <c r="G247" s="200"/>
    </row>
    <row r="248" spans="1:13" x14ac:dyDescent="0.2">
      <c r="A248" s="309" t="s">
        <v>143</v>
      </c>
      <c r="B248" s="60" t="s">
        <v>188</v>
      </c>
      <c r="C248" s="61" t="s">
        <v>8</v>
      </c>
      <c r="D248" s="52">
        <v>2850.7289999999998</v>
      </c>
      <c r="E248" s="206"/>
      <c r="F248" s="199"/>
      <c r="G248" s="200"/>
      <c r="I248" s="23">
        <f>0.617*D248*6</f>
        <v>10553.398757999999</v>
      </c>
      <c r="K248" s="13">
        <f>K142*7</f>
        <v>2563.9250000000002</v>
      </c>
      <c r="L248" s="13">
        <f>K248/6</f>
        <v>427.32083333333338</v>
      </c>
      <c r="M248" s="13">
        <f>L248/6</f>
        <v>71.220138888888897</v>
      </c>
    </row>
    <row r="249" spans="1:13" x14ac:dyDescent="0.2">
      <c r="A249" s="311" t="s">
        <v>410</v>
      </c>
      <c r="B249" s="239" t="s">
        <v>60</v>
      </c>
      <c r="C249" s="327"/>
      <c r="D249" s="237"/>
      <c r="E249" s="206"/>
      <c r="F249" s="199"/>
      <c r="G249" s="200"/>
    </row>
    <row r="250" spans="1:13" ht="12.75" customHeight="1" x14ac:dyDescent="0.2">
      <c r="A250" s="314"/>
      <c r="B250" s="91" t="s">
        <v>228</v>
      </c>
      <c r="C250" s="92"/>
      <c r="D250" s="93"/>
      <c r="E250" s="216"/>
      <c r="F250" s="199"/>
      <c r="G250" s="200"/>
    </row>
    <row r="251" spans="1:13" x14ac:dyDescent="0.2">
      <c r="A251" s="309" t="s">
        <v>135</v>
      </c>
      <c r="B251" s="60" t="s">
        <v>290</v>
      </c>
      <c r="C251" s="90"/>
      <c r="D251" s="62"/>
      <c r="E251" s="196"/>
      <c r="F251" s="199"/>
      <c r="G251" s="200"/>
      <c r="I251" s="13">
        <f>3.82*5+4.08*5</f>
        <v>39.5</v>
      </c>
      <c r="J251" s="13">
        <f t="shared" ref="J251" si="5">I251*0.2*0.3</f>
        <v>2.37</v>
      </c>
    </row>
    <row r="252" spans="1:13" x14ac:dyDescent="0.2">
      <c r="A252" s="309"/>
      <c r="B252" s="60" t="s">
        <v>229</v>
      </c>
      <c r="C252" s="61" t="s">
        <v>8</v>
      </c>
      <c r="D252" s="52">
        <v>785.46</v>
      </c>
      <c r="E252" s="206"/>
      <c r="F252" s="199"/>
      <c r="G252" s="200"/>
      <c r="I252" s="23">
        <f>D252*0.888*6</f>
        <v>4184.9308800000008</v>
      </c>
      <c r="J252" s="13">
        <f>12+26+31+10+3+12+35+12</f>
        <v>141</v>
      </c>
      <c r="K252" s="23"/>
    </row>
    <row r="253" spans="1:13" x14ac:dyDescent="0.2">
      <c r="A253" s="309"/>
      <c r="B253" s="60" t="s">
        <v>294</v>
      </c>
      <c r="C253" s="61" t="s">
        <v>8</v>
      </c>
      <c r="D253" s="52">
        <v>244.73280000000003</v>
      </c>
      <c r="E253" s="206"/>
      <c r="F253" s="199"/>
      <c r="G253" s="200"/>
      <c r="I253" s="23">
        <f>D253*0.888*6</f>
        <v>1303.9363584000002</v>
      </c>
      <c r="J253" s="13">
        <f>12+26+31+10+3+12+35+12</f>
        <v>141</v>
      </c>
      <c r="K253" s="23"/>
    </row>
    <row r="254" spans="1:13" x14ac:dyDescent="0.2">
      <c r="A254" s="309" t="s">
        <v>136</v>
      </c>
      <c r="B254" s="60" t="s">
        <v>291</v>
      </c>
      <c r="C254" s="90"/>
      <c r="D254" s="62"/>
      <c r="E254" s="196"/>
      <c r="F254" s="199"/>
      <c r="G254" s="200"/>
      <c r="I254" s="13">
        <f>3*10</f>
        <v>30</v>
      </c>
      <c r="J254" s="13">
        <f>I254*0.2*0.3</f>
        <v>1.7999999999999998</v>
      </c>
    </row>
    <row r="255" spans="1:13" x14ac:dyDescent="0.2">
      <c r="A255" s="309"/>
      <c r="B255" s="60" t="s">
        <v>186</v>
      </c>
      <c r="C255" s="61" t="s">
        <v>8</v>
      </c>
      <c r="D255" s="52">
        <v>971.7</v>
      </c>
      <c r="E255" s="206"/>
      <c r="F255" s="199"/>
      <c r="G255" s="200"/>
      <c r="I255" s="23">
        <f>D255*0.888*6</f>
        <v>5177.2176000000009</v>
      </c>
      <c r="J255" s="13">
        <f>12+26+31+10+3+12+35+12</f>
        <v>141</v>
      </c>
      <c r="K255" s="23"/>
    </row>
    <row r="256" spans="1:13" x14ac:dyDescent="0.2">
      <c r="A256" s="309"/>
      <c r="B256" s="60" t="s">
        <v>294</v>
      </c>
      <c r="C256" s="61" t="s">
        <v>8</v>
      </c>
      <c r="D256" s="52">
        <v>236.65200000000002</v>
      </c>
      <c r="E256" s="206"/>
      <c r="F256" s="199"/>
      <c r="G256" s="200"/>
      <c r="I256" s="23">
        <f>D256*0.888*6</f>
        <v>1260.8818560000002</v>
      </c>
      <c r="J256" s="13">
        <f>12+26+31+10+3+12+35+12</f>
        <v>141</v>
      </c>
      <c r="K256" s="23"/>
    </row>
    <row r="257" spans="1:18" x14ac:dyDescent="0.2">
      <c r="A257" s="309" t="s">
        <v>140</v>
      </c>
      <c r="B257" s="60" t="s">
        <v>292</v>
      </c>
      <c r="C257" s="90"/>
      <c r="D257" s="62"/>
      <c r="E257" s="196"/>
      <c r="F257" s="199"/>
      <c r="G257" s="200"/>
      <c r="I257" s="13">
        <v>3</v>
      </c>
      <c r="J257" s="13">
        <f>I257*0.2*0.4</f>
        <v>0.24000000000000005</v>
      </c>
    </row>
    <row r="258" spans="1:18" x14ac:dyDescent="0.2">
      <c r="A258" s="309"/>
      <c r="B258" s="60" t="s">
        <v>186</v>
      </c>
      <c r="C258" s="61" t="s">
        <v>8</v>
      </c>
      <c r="D258" s="52">
        <v>255.96</v>
      </c>
      <c r="E258" s="206"/>
      <c r="F258" s="199"/>
      <c r="G258" s="200"/>
      <c r="I258" s="23">
        <f>D258*0.888*6</f>
        <v>1363.75488</v>
      </c>
      <c r="J258" s="13">
        <f>12+26+31+10+3+12+35+12</f>
        <v>141</v>
      </c>
      <c r="K258" s="23"/>
    </row>
    <row r="259" spans="1:18" x14ac:dyDescent="0.2">
      <c r="A259" s="309"/>
      <c r="B259" s="60" t="s">
        <v>294</v>
      </c>
      <c r="C259" s="61" t="s">
        <v>8</v>
      </c>
      <c r="D259" s="52">
        <v>77.921999999999997</v>
      </c>
      <c r="E259" s="206"/>
      <c r="F259" s="199"/>
      <c r="G259" s="200"/>
      <c r="I259" s="23">
        <f>D259*0.888*6</f>
        <v>415.16841599999998</v>
      </c>
      <c r="J259" s="13">
        <f>12+26+31+10+3+12+35+12</f>
        <v>141</v>
      </c>
      <c r="K259" s="23"/>
    </row>
    <row r="260" spans="1:18" x14ac:dyDescent="0.2">
      <c r="A260" s="314"/>
      <c r="B260" s="91" t="s">
        <v>227</v>
      </c>
      <c r="C260" s="92"/>
      <c r="D260" s="93"/>
      <c r="E260" s="216"/>
      <c r="F260" s="199"/>
      <c r="G260" s="200"/>
      <c r="H260" s="29"/>
      <c r="I260" s="26"/>
      <c r="K260" s="13" t="e">
        <f>#REF!</f>
        <v>#REF!</v>
      </c>
      <c r="L260" s="13" t="e">
        <f>K260*14</f>
        <v>#REF!</v>
      </c>
      <c r="M260" s="13" t="e">
        <f>L260*75%</f>
        <v>#REF!</v>
      </c>
      <c r="N260" s="13" t="e">
        <f>L260+M260</f>
        <v>#REF!</v>
      </c>
      <c r="O260" s="13" t="e">
        <f>N260/6</f>
        <v>#REF!</v>
      </c>
    </row>
    <row r="261" spans="1:18" x14ac:dyDescent="0.2">
      <c r="A261" s="314" t="s">
        <v>141</v>
      </c>
      <c r="B261" s="60" t="s">
        <v>187</v>
      </c>
      <c r="C261" s="61" t="s">
        <v>8</v>
      </c>
      <c r="D261" s="52">
        <v>11251.973333333335</v>
      </c>
      <c r="E261" s="206"/>
      <c r="F261" s="199"/>
      <c r="G261" s="200"/>
      <c r="H261" s="29"/>
      <c r="I261" s="23">
        <f>0.617*D261*6</f>
        <v>41654.805280000008</v>
      </c>
    </row>
    <row r="262" spans="1:18" x14ac:dyDescent="0.2">
      <c r="A262" s="314"/>
      <c r="B262" s="91" t="s">
        <v>138</v>
      </c>
      <c r="C262" s="92"/>
      <c r="D262" s="93"/>
      <c r="E262" s="216"/>
      <c r="F262" s="199"/>
      <c r="G262" s="200"/>
    </row>
    <row r="263" spans="1:18" x14ac:dyDescent="0.2">
      <c r="A263" s="130" t="s">
        <v>142</v>
      </c>
      <c r="B263" s="60" t="s">
        <v>286</v>
      </c>
      <c r="C263" s="90"/>
      <c r="D263" s="62"/>
      <c r="E263" s="196"/>
      <c r="F263" s="199"/>
      <c r="G263" s="200"/>
      <c r="I263" s="13">
        <f>0.2*0.2*4.275*35</f>
        <v>5.9850000000000012</v>
      </c>
      <c r="N263" s="13">
        <v>10</v>
      </c>
      <c r="O263" s="13">
        <v>1</v>
      </c>
      <c r="P263" s="13">
        <v>10</v>
      </c>
      <c r="Q263" s="13">
        <f>P263*O263</f>
        <v>10</v>
      </c>
      <c r="R263" s="13">
        <f>Q263*N263</f>
        <v>100</v>
      </c>
    </row>
    <row r="264" spans="1:18" x14ac:dyDescent="0.2">
      <c r="A264" s="309"/>
      <c r="B264" s="60" t="s">
        <v>186</v>
      </c>
      <c r="C264" s="61" t="s">
        <v>8</v>
      </c>
      <c r="D264" s="52">
        <v>151.68</v>
      </c>
      <c r="E264" s="206"/>
      <c r="F264" s="199"/>
      <c r="G264" s="200"/>
      <c r="I264" s="23">
        <f>D264*0.888*6</f>
        <v>808.15104000000008</v>
      </c>
      <c r="J264" s="13">
        <f>12+26+31+10+3+12+35+12</f>
        <v>141</v>
      </c>
      <c r="K264" s="23"/>
    </row>
    <row r="265" spans="1:18" x14ac:dyDescent="0.2">
      <c r="A265" s="309"/>
      <c r="B265" s="60" t="s">
        <v>294</v>
      </c>
      <c r="C265" s="61" t="s">
        <v>8</v>
      </c>
      <c r="D265" s="52">
        <v>44.044800000000009</v>
      </c>
      <c r="E265" s="206"/>
      <c r="F265" s="199"/>
      <c r="G265" s="200"/>
      <c r="I265" s="23">
        <f>D265*0.888*6</f>
        <v>234.67069440000006</v>
      </c>
      <c r="J265" s="13">
        <f>12+26+31+10+3+12+35+12</f>
        <v>141</v>
      </c>
      <c r="K265" s="23"/>
    </row>
    <row r="266" spans="1:18" x14ac:dyDescent="0.2">
      <c r="A266" s="130" t="s">
        <v>144</v>
      </c>
      <c r="B266" s="60" t="s">
        <v>287</v>
      </c>
      <c r="C266" s="90"/>
      <c r="D266" s="62"/>
      <c r="E266" s="196"/>
      <c r="F266" s="199"/>
      <c r="G266" s="200"/>
      <c r="I266" s="13">
        <f>0.4*0.2*4.275*5</f>
        <v>1.7100000000000004</v>
      </c>
      <c r="N266" s="13">
        <v>-10</v>
      </c>
      <c r="O266" s="13">
        <v>1</v>
      </c>
      <c r="P266" s="13">
        <v>30</v>
      </c>
      <c r="Q266" s="13">
        <f>P266*O266</f>
        <v>30</v>
      </c>
      <c r="R266" s="13">
        <f>Q266*N266</f>
        <v>-300</v>
      </c>
    </row>
    <row r="267" spans="1:18" x14ac:dyDescent="0.2">
      <c r="A267" s="309"/>
      <c r="B267" s="60" t="s">
        <v>186</v>
      </c>
      <c r="C267" s="61" t="s">
        <v>8</v>
      </c>
      <c r="D267" s="52">
        <v>151.68</v>
      </c>
      <c r="E267" s="206"/>
      <c r="F267" s="199"/>
      <c r="G267" s="200"/>
      <c r="I267" s="23">
        <f>D267*0.888*6</f>
        <v>808.15104000000008</v>
      </c>
      <c r="J267" s="13">
        <f>12+26+31+10+3+12+35+12</f>
        <v>141</v>
      </c>
      <c r="K267" s="23"/>
    </row>
    <row r="268" spans="1:18" x14ac:dyDescent="0.2">
      <c r="A268" s="309"/>
      <c r="B268" s="60" t="s">
        <v>294</v>
      </c>
      <c r="C268" s="61" t="s">
        <v>8</v>
      </c>
      <c r="D268" s="52">
        <v>42.268799999999999</v>
      </c>
      <c r="E268" s="206"/>
      <c r="F268" s="199"/>
      <c r="G268" s="200"/>
      <c r="I268" s="23">
        <f>D268*0.888*6</f>
        <v>225.20816639999998</v>
      </c>
      <c r="J268" s="13">
        <f>12+26+31+10+3+12+35+12</f>
        <v>141</v>
      </c>
      <c r="K268" s="23"/>
    </row>
    <row r="269" spans="1:18" x14ac:dyDescent="0.2">
      <c r="A269" s="130" t="s">
        <v>145</v>
      </c>
      <c r="B269" s="60" t="s">
        <v>288</v>
      </c>
      <c r="C269" s="90"/>
      <c r="D269" s="62"/>
      <c r="E269" s="196"/>
      <c r="F269" s="199"/>
      <c r="G269" s="200"/>
      <c r="I269" s="13">
        <f>0.15*0.15*3.825*6</f>
        <v>0.51637500000000003</v>
      </c>
      <c r="R269" s="13">
        <f>SUM(R263:R266)</f>
        <v>-200</v>
      </c>
    </row>
    <row r="270" spans="1:18" x14ac:dyDescent="0.2">
      <c r="A270" s="309"/>
      <c r="B270" s="60" t="s">
        <v>186</v>
      </c>
      <c r="C270" s="61" t="s">
        <v>8</v>
      </c>
      <c r="D270" s="52">
        <v>682.56000000000006</v>
      </c>
      <c r="E270" s="206"/>
      <c r="F270" s="199"/>
      <c r="G270" s="200"/>
      <c r="I270" s="23">
        <f>D270*0.888*6</f>
        <v>3636.6796800000002</v>
      </c>
      <c r="J270" s="13">
        <f>12+26+31+10+3+12+35+12</f>
        <v>141</v>
      </c>
      <c r="K270" s="23"/>
    </row>
    <row r="271" spans="1:18" x14ac:dyDescent="0.2">
      <c r="A271" s="309"/>
      <c r="B271" s="60" t="s">
        <v>294</v>
      </c>
      <c r="C271" s="61" t="s">
        <v>8</v>
      </c>
      <c r="D271" s="52">
        <v>143.85599999999999</v>
      </c>
      <c r="E271" s="206"/>
      <c r="F271" s="199"/>
      <c r="G271" s="200"/>
      <c r="I271" s="23">
        <f>D271*0.888*6</f>
        <v>766.46476800000005</v>
      </c>
      <c r="J271" s="13">
        <f>12+26+31+10+3+12+35+12</f>
        <v>141</v>
      </c>
      <c r="K271" s="23"/>
    </row>
    <row r="272" spans="1:18" x14ac:dyDescent="0.2">
      <c r="A272" s="130" t="s">
        <v>146</v>
      </c>
      <c r="B272" s="60" t="s">
        <v>289</v>
      </c>
      <c r="C272" s="90"/>
      <c r="D272" s="62"/>
      <c r="E272" s="196"/>
      <c r="F272" s="199"/>
      <c r="G272" s="200"/>
      <c r="I272" s="13">
        <f>0.15*0.15*3.825*6</f>
        <v>0.51637500000000003</v>
      </c>
    </row>
    <row r="273" spans="1:11" x14ac:dyDescent="0.2">
      <c r="A273" s="309"/>
      <c r="B273" s="60" t="s">
        <v>186</v>
      </c>
      <c r="C273" s="61" t="s">
        <v>8</v>
      </c>
      <c r="D273" s="52">
        <v>341.28000000000003</v>
      </c>
      <c r="E273" s="206"/>
      <c r="F273" s="199"/>
      <c r="G273" s="200"/>
      <c r="I273" s="23">
        <f>D273*0.888*6</f>
        <v>1818.3398400000001</v>
      </c>
      <c r="J273" s="13">
        <f>12+26+31+10+3+12+35+12</f>
        <v>141</v>
      </c>
      <c r="K273" s="23"/>
    </row>
    <row r="274" spans="1:11" x14ac:dyDescent="0.2">
      <c r="A274" s="309"/>
      <c r="B274" s="60" t="s">
        <v>294</v>
      </c>
      <c r="C274" s="61" t="s">
        <v>8</v>
      </c>
      <c r="D274" s="52">
        <v>63.936</v>
      </c>
      <c r="E274" s="206"/>
      <c r="F274" s="199"/>
      <c r="G274" s="200"/>
      <c r="I274" s="23">
        <f>D274*0.888*6</f>
        <v>340.65100799999999</v>
      </c>
      <c r="J274" s="13">
        <f>12+26+31+10+3+12+35+12</f>
        <v>141</v>
      </c>
      <c r="K274" s="23"/>
    </row>
    <row r="275" spans="1:11" x14ac:dyDescent="0.2">
      <c r="A275" s="311" t="s">
        <v>412</v>
      </c>
      <c r="B275" s="239" t="s">
        <v>223</v>
      </c>
      <c r="C275" s="327"/>
      <c r="D275" s="237"/>
      <c r="E275" s="206"/>
      <c r="F275" s="199"/>
      <c r="G275" s="200"/>
    </row>
    <row r="276" spans="1:11" ht="15" customHeight="1" x14ac:dyDescent="0.2">
      <c r="A276" s="314"/>
      <c r="B276" s="91" t="s">
        <v>223</v>
      </c>
      <c r="C276" s="92"/>
      <c r="D276" s="93"/>
      <c r="E276" s="216"/>
      <c r="F276" s="199"/>
      <c r="G276" s="200"/>
    </row>
    <row r="277" spans="1:11" x14ac:dyDescent="0.2">
      <c r="A277" s="309" t="s">
        <v>135</v>
      </c>
      <c r="B277" s="60" t="str">
        <f>B203</f>
        <v>RB1 @ Roof beam level 1</v>
      </c>
      <c r="C277" s="90"/>
      <c r="D277" s="62"/>
      <c r="E277" s="196"/>
      <c r="F277" s="199"/>
      <c r="G277" s="200"/>
      <c r="I277" s="13">
        <f>3.82*5+4.08*5</f>
        <v>39.5</v>
      </c>
      <c r="J277" s="13">
        <f t="shared" ref="J277:J280" si="6">I277*0.2*0.3</f>
        <v>2.37</v>
      </c>
    </row>
    <row r="278" spans="1:11" x14ac:dyDescent="0.2">
      <c r="A278" s="309"/>
      <c r="B278" s="60" t="s">
        <v>186</v>
      </c>
      <c r="C278" s="61" t="s">
        <v>8</v>
      </c>
      <c r="D278" s="52">
        <v>366.56</v>
      </c>
      <c r="E278" s="206"/>
      <c r="F278" s="199"/>
      <c r="G278" s="200"/>
      <c r="I278" s="23">
        <f>D278*0.888*6</f>
        <v>1953.0316800000001</v>
      </c>
      <c r="J278" s="13">
        <f>12+26+31+10+3+12+35+12</f>
        <v>141</v>
      </c>
      <c r="K278" s="23"/>
    </row>
    <row r="279" spans="1:11" x14ac:dyDescent="0.2">
      <c r="A279" s="309"/>
      <c r="B279" s="60" t="s">
        <v>294</v>
      </c>
      <c r="C279" s="61" t="s">
        <v>8</v>
      </c>
      <c r="D279" s="52">
        <v>85.84</v>
      </c>
      <c r="E279" s="206"/>
      <c r="F279" s="199"/>
      <c r="G279" s="200"/>
      <c r="I279" s="23">
        <f>D279*0.888*6</f>
        <v>457.35552000000001</v>
      </c>
      <c r="J279" s="13">
        <f>12+26+31+10+3+12+35+12</f>
        <v>141</v>
      </c>
      <c r="K279" s="23"/>
    </row>
    <row r="280" spans="1:11" x14ac:dyDescent="0.2">
      <c r="A280" s="309" t="s">
        <v>136</v>
      </c>
      <c r="B280" s="60" t="str">
        <f>B204</f>
        <v>RB1 @ Roof beam level 2</v>
      </c>
      <c r="C280" s="90"/>
      <c r="D280" s="62"/>
      <c r="E280" s="196"/>
      <c r="F280" s="199"/>
      <c r="G280" s="200"/>
      <c r="I280" s="13">
        <f>3.82*5+4.08*5</f>
        <v>39.5</v>
      </c>
      <c r="J280" s="13">
        <f t="shared" si="6"/>
        <v>2.37</v>
      </c>
    </row>
    <row r="281" spans="1:11" x14ac:dyDescent="0.2">
      <c r="A281" s="309"/>
      <c r="B281" s="60" t="s">
        <v>186</v>
      </c>
      <c r="C281" s="61" t="s">
        <v>8</v>
      </c>
      <c r="D281" s="52">
        <v>973.28000000000009</v>
      </c>
      <c r="E281" s="206"/>
      <c r="F281" s="199"/>
      <c r="G281" s="200"/>
      <c r="I281" s="23">
        <f>D281*0.888*6</f>
        <v>5185.6358400000008</v>
      </c>
      <c r="J281" s="13">
        <f>12+26+31+10+3+12+35+12</f>
        <v>141</v>
      </c>
      <c r="K281" s="23"/>
    </row>
    <row r="282" spans="1:11" x14ac:dyDescent="0.2">
      <c r="A282" s="309"/>
      <c r="B282" s="60" t="s">
        <v>294</v>
      </c>
      <c r="C282" s="61" t="s">
        <v>8</v>
      </c>
      <c r="D282" s="52">
        <v>227.92000000000002</v>
      </c>
      <c r="E282" s="206"/>
      <c r="F282" s="199"/>
      <c r="G282" s="200"/>
      <c r="I282" s="23">
        <f>D282*0.888*6</f>
        <v>1214.3577600000001</v>
      </c>
      <c r="J282" s="13">
        <f>12+26+31+10+3+12+35+12</f>
        <v>141</v>
      </c>
      <c r="K282" s="23"/>
    </row>
    <row r="283" spans="1:11" x14ac:dyDescent="0.2">
      <c r="A283" s="309" t="s">
        <v>140</v>
      </c>
      <c r="B283" s="60" t="s">
        <v>293</v>
      </c>
      <c r="C283" s="90"/>
      <c r="D283" s="62"/>
      <c r="E283" s="196"/>
      <c r="F283" s="199"/>
      <c r="G283" s="200"/>
      <c r="I283" s="13">
        <v>3</v>
      </c>
      <c r="J283" s="13">
        <f>I283*0.2*0.4</f>
        <v>0.24000000000000005</v>
      </c>
    </row>
    <row r="284" spans="1:11" x14ac:dyDescent="0.2">
      <c r="A284" s="309"/>
      <c r="B284" s="60" t="s">
        <v>188</v>
      </c>
      <c r="C284" s="61" t="s">
        <v>8</v>
      </c>
      <c r="D284" s="52">
        <v>62</v>
      </c>
      <c r="E284" s="206"/>
      <c r="F284" s="199"/>
      <c r="G284" s="200"/>
      <c r="I284" s="23">
        <f>D284*0.888*6</f>
        <v>330.33600000000001</v>
      </c>
      <c r="J284" s="13">
        <f>12+26+31+10+3+12+35+12</f>
        <v>141</v>
      </c>
      <c r="K284" s="23"/>
    </row>
    <row r="285" spans="1:11" x14ac:dyDescent="0.2">
      <c r="A285" s="309"/>
      <c r="B285" s="60" t="s">
        <v>294</v>
      </c>
      <c r="C285" s="61" t="s">
        <v>8</v>
      </c>
      <c r="D285" s="52">
        <v>25.900000000000002</v>
      </c>
      <c r="E285" s="206"/>
      <c r="F285" s="199"/>
      <c r="G285" s="200"/>
      <c r="I285" s="23">
        <f>D285*0.888*6</f>
        <v>137.99520000000001</v>
      </c>
      <c r="J285" s="13">
        <f>12+26+31+10+3+12+35+12</f>
        <v>141</v>
      </c>
      <c r="K285" s="23"/>
    </row>
    <row r="286" spans="1:11" ht="15" x14ac:dyDescent="0.25">
      <c r="A286" s="309" t="s">
        <v>141</v>
      </c>
      <c r="B286" t="s">
        <v>340</v>
      </c>
      <c r="C286" s="90"/>
      <c r="D286" s="62"/>
      <c r="E286" s="196"/>
      <c r="F286" s="199"/>
      <c r="G286" s="200"/>
      <c r="I286" s="13">
        <v>3</v>
      </c>
      <c r="J286" s="13">
        <f>I286*0.2*0.4</f>
        <v>0.24000000000000005</v>
      </c>
    </row>
    <row r="287" spans="1:11" x14ac:dyDescent="0.2">
      <c r="A287" s="309"/>
      <c r="B287" s="60" t="s">
        <v>187</v>
      </c>
      <c r="C287" s="61" t="s">
        <v>8</v>
      </c>
      <c r="D287" s="52">
        <v>78.320000000000007</v>
      </c>
      <c r="E287" s="206"/>
      <c r="F287" s="199"/>
      <c r="G287" s="200"/>
      <c r="I287" s="23">
        <f>D287*0.888*6</f>
        <v>417.28896000000009</v>
      </c>
      <c r="J287" s="13">
        <f>12+26+31+10+3+12+35+12</f>
        <v>141</v>
      </c>
      <c r="K287" s="23"/>
    </row>
    <row r="288" spans="1:11" x14ac:dyDescent="0.2">
      <c r="A288" s="309"/>
      <c r="B288" s="60" t="s">
        <v>294</v>
      </c>
      <c r="C288" s="61" t="s">
        <v>8</v>
      </c>
      <c r="D288" s="52">
        <v>29.304000000000002</v>
      </c>
      <c r="E288" s="206"/>
      <c r="F288" s="199"/>
      <c r="G288" s="200"/>
      <c r="I288" s="23">
        <f>D288*0.888*6</f>
        <v>156.13171200000002</v>
      </c>
      <c r="J288" s="13">
        <f>12+26+31+10+3+12+35+12</f>
        <v>141</v>
      </c>
      <c r="K288" s="23"/>
    </row>
    <row r="289" spans="1:13" x14ac:dyDescent="0.2">
      <c r="A289" s="309"/>
      <c r="B289" s="60"/>
      <c r="C289" s="61"/>
      <c r="D289" s="62"/>
      <c r="E289" s="206"/>
      <c r="F289" s="199"/>
      <c r="G289" s="200"/>
      <c r="I289" s="23"/>
      <c r="J289" s="23"/>
    </row>
    <row r="290" spans="1:13" x14ac:dyDescent="0.2">
      <c r="A290" s="309"/>
      <c r="B290" s="60"/>
      <c r="C290" s="61"/>
      <c r="D290" s="62"/>
      <c r="E290" s="206"/>
      <c r="F290" s="199"/>
      <c r="G290" s="200"/>
      <c r="I290" s="23"/>
      <c r="J290" s="23"/>
    </row>
    <row r="291" spans="1:13" x14ac:dyDescent="0.2">
      <c r="A291" s="309"/>
      <c r="B291" s="60"/>
      <c r="C291" s="61"/>
      <c r="D291" s="62"/>
      <c r="E291" s="206"/>
      <c r="F291" s="199"/>
      <c r="G291" s="200"/>
      <c r="I291" s="23"/>
      <c r="J291" s="23"/>
    </row>
    <row r="292" spans="1:13" x14ac:dyDescent="0.2">
      <c r="A292" s="309"/>
      <c r="B292" s="60"/>
      <c r="C292" s="61"/>
      <c r="D292" s="62"/>
      <c r="E292" s="206"/>
      <c r="F292" s="199"/>
      <c r="G292" s="200"/>
      <c r="I292" s="23"/>
      <c r="J292" s="23"/>
    </row>
    <row r="293" spans="1:13" x14ac:dyDescent="0.2">
      <c r="A293" s="309"/>
      <c r="B293" s="60"/>
      <c r="C293" s="61"/>
      <c r="D293" s="62"/>
      <c r="E293" s="206"/>
      <c r="F293" s="199"/>
      <c r="G293" s="200"/>
      <c r="I293" s="23"/>
      <c r="J293" s="23"/>
    </row>
    <row r="294" spans="1:13" x14ac:dyDescent="0.2">
      <c r="A294" s="313"/>
      <c r="B294" s="145"/>
      <c r="C294" s="143"/>
      <c r="D294" s="144"/>
      <c r="E294" s="206"/>
      <c r="F294" s="199"/>
      <c r="G294" s="200"/>
      <c r="I294" s="23"/>
      <c r="J294" s="23"/>
    </row>
    <row r="295" spans="1:13" x14ac:dyDescent="0.2">
      <c r="A295" s="311" t="s">
        <v>415</v>
      </c>
      <c r="B295" s="239" t="s">
        <v>164</v>
      </c>
      <c r="C295" s="327"/>
      <c r="D295" s="237"/>
      <c r="E295" s="206"/>
      <c r="F295" s="199"/>
      <c r="G295" s="200"/>
    </row>
    <row r="296" spans="1:13" x14ac:dyDescent="0.2">
      <c r="A296" s="315" t="s">
        <v>149</v>
      </c>
      <c r="B296" s="63" t="s">
        <v>230</v>
      </c>
      <c r="C296" s="61"/>
      <c r="D296" s="62"/>
      <c r="E296" s="206"/>
      <c r="F296" s="199"/>
      <c r="G296" s="200"/>
    </row>
    <row r="297" spans="1:13" ht="48" x14ac:dyDescent="0.2">
      <c r="A297" s="315"/>
      <c r="B297" s="60" t="s">
        <v>231</v>
      </c>
      <c r="C297" s="61" t="s">
        <v>12</v>
      </c>
      <c r="D297" s="62">
        <v>1</v>
      </c>
      <c r="E297" s="206"/>
      <c r="F297" s="199"/>
      <c r="G297" s="200"/>
      <c r="I297" s="13">
        <f>25.725*0.2*0.2*2*2</f>
        <v>4.1160000000000005</v>
      </c>
      <c r="J297" s="13">
        <f>0.375*0.125*25.723*2*2</f>
        <v>4.8230624999999998</v>
      </c>
      <c r="K297" s="13">
        <f>26.4*0.15*0.15*2</f>
        <v>1.1879999999999997</v>
      </c>
      <c r="M297" s="13">
        <f>SUM(I297:L297)</f>
        <v>10.127062500000001</v>
      </c>
    </row>
    <row r="298" spans="1:13" ht="15.75" customHeight="1" x14ac:dyDescent="0.2">
      <c r="A298" s="315" t="s">
        <v>150</v>
      </c>
      <c r="B298" s="63" t="s">
        <v>250</v>
      </c>
      <c r="C298" s="61"/>
      <c r="D298" s="62"/>
      <c r="E298" s="206"/>
      <c r="F298" s="199"/>
      <c r="G298" s="200"/>
    </row>
    <row r="299" spans="1:13" ht="60" x14ac:dyDescent="0.2">
      <c r="A299" s="315"/>
      <c r="B299" s="95" t="s">
        <v>251</v>
      </c>
      <c r="C299" s="61" t="s">
        <v>12</v>
      </c>
      <c r="D299" s="96">
        <v>4</v>
      </c>
      <c r="E299" s="196"/>
      <c r="F299" s="199"/>
      <c r="G299" s="200"/>
      <c r="I299" s="13">
        <f>1.7*0.95*0.075*2</f>
        <v>0.24224999999999999</v>
      </c>
      <c r="J299" s="13">
        <f>0.2*0.2*1.7*2</f>
        <v>0.13600000000000001</v>
      </c>
      <c r="K299" s="13">
        <f>SUM(I299:J299)</f>
        <v>0.37824999999999998</v>
      </c>
    </row>
    <row r="300" spans="1:13" ht="15.75" customHeight="1" x14ac:dyDescent="0.2">
      <c r="A300" s="315" t="s">
        <v>152</v>
      </c>
      <c r="B300" s="63" t="s">
        <v>323</v>
      </c>
      <c r="C300" s="61"/>
      <c r="D300" s="62"/>
      <c r="E300" s="206"/>
      <c r="F300" s="199"/>
      <c r="G300" s="200"/>
    </row>
    <row r="301" spans="1:13" ht="48" x14ac:dyDescent="0.2">
      <c r="A301" s="315"/>
      <c r="B301" s="95" t="s">
        <v>413</v>
      </c>
      <c r="C301" s="61"/>
      <c r="D301" s="96"/>
      <c r="E301" s="196"/>
      <c r="F301" s="199"/>
      <c r="G301" s="200"/>
      <c r="I301" s="13">
        <f>1.7*0.95*0.075*2</f>
        <v>0.24224999999999999</v>
      </c>
      <c r="J301" s="13">
        <f>0.2*0.2*1.7*2</f>
        <v>0.13600000000000001</v>
      </c>
      <c r="K301" s="13">
        <f>SUM(I301:J301)</f>
        <v>0.37824999999999998</v>
      </c>
    </row>
    <row r="302" spans="1:13" x14ac:dyDescent="0.2">
      <c r="A302" s="315" t="s">
        <v>135</v>
      </c>
      <c r="B302" s="95" t="s">
        <v>527</v>
      </c>
      <c r="C302" s="61" t="s">
        <v>12</v>
      </c>
      <c r="D302" s="96">
        <v>2</v>
      </c>
      <c r="E302" s="196"/>
      <c r="F302" s="199"/>
      <c r="G302" s="200"/>
      <c r="I302" s="13">
        <f>1.7*0.95*0.075*2</f>
        <v>0.24224999999999999</v>
      </c>
      <c r="J302" s="13">
        <f>0.2*0.2*1.7*2</f>
        <v>0.13600000000000001</v>
      </c>
      <c r="K302" s="13">
        <f>SUM(I302:J302)</f>
        <v>0.37824999999999998</v>
      </c>
    </row>
    <row r="303" spans="1:13" x14ac:dyDescent="0.2">
      <c r="A303" s="315" t="s">
        <v>136</v>
      </c>
      <c r="B303" s="95" t="s">
        <v>528</v>
      </c>
      <c r="C303" s="61" t="s">
        <v>12</v>
      </c>
      <c r="D303" s="96">
        <v>2</v>
      </c>
      <c r="E303" s="196"/>
      <c r="F303" s="199"/>
      <c r="G303" s="200"/>
      <c r="I303" s="13">
        <f>1.7*0.95*0.075*2</f>
        <v>0.24224999999999999</v>
      </c>
      <c r="J303" s="13">
        <f>0.2*0.2*1.7*2</f>
        <v>0.13600000000000001</v>
      </c>
      <c r="K303" s="13">
        <f>SUM(I303:J303)</f>
        <v>0.37824999999999998</v>
      </c>
    </row>
    <row r="304" spans="1:13" x14ac:dyDescent="0.2">
      <c r="A304" s="315" t="s">
        <v>140</v>
      </c>
      <c r="B304" s="95" t="s">
        <v>539</v>
      </c>
      <c r="C304" s="61" t="s">
        <v>12</v>
      </c>
      <c r="D304" s="96">
        <v>2</v>
      </c>
      <c r="E304" s="196"/>
      <c r="F304" s="199"/>
      <c r="G304" s="200"/>
      <c r="I304" s="13">
        <f>1.7*0.95*0.075*2</f>
        <v>0.24224999999999999</v>
      </c>
      <c r="J304" s="13">
        <f>0.2*0.2*1.7*2</f>
        <v>0.13600000000000001</v>
      </c>
      <c r="K304" s="13">
        <f>SUM(I304:J304)</f>
        <v>0.37824999999999998</v>
      </c>
    </row>
    <row r="305" spans="1:13" ht="15.75" customHeight="1" x14ac:dyDescent="0.2">
      <c r="A305" s="315" t="s">
        <v>151</v>
      </c>
      <c r="B305" s="63" t="s">
        <v>324</v>
      </c>
      <c r="C305" s="61"/>
      <c r="D305" s="62"/>
      <c r="E305" s="206"/>
      <c r="F305" s="199"/>
      <c r="G305" s="200"/>
    </row>
    <row r="306" spans="1:13" ht="48" x14ac:dyDescent="0.2">
      <c r="A306" s="315"/>
      <c r="B306" s="95" t="s">
        <v>414</v>
      </c>
      <c r="C306" s="61" t="s">
        <v>12</v>
      </c>
      <c r="D306" s="96">
        <v>28</v>
      </c>
      <c r="E306" s="196"/>
      <c r="F306" s="199"/>
      <c r="G306" s="200"/>
      <c r="I306" s="13">
        <f>1.7*0.95*0.075*2</f>
        <v>0.24224999999999999</v>
      </c>
      <c r="J306" s="13">
        <f>0.2*0.2*1.7*2</f>
        <v>0.13600000000000001</v>
      </c>
      <c r="K306" s="13">
        <f>SUM(I306:J306)</f>
        <v>0.37824999999999998</v>
      </c>
    </row>
    <row r="307" spans="1:13" x14ac:dyDescent="0.2">
      <c r="A307" s="309" t="s">
        <v>416</v>
      </c>
      <c r="B307" s="63" t="s">
        <v>207</v>
      </c>
      <c r="C307" s="61"/>
      <c r="D307" s="62"/>
      <c r="E307" s="206"/>
      <c r="F307" s="199"/>
      <c r="G307" s="200"/>
    </row>
    <row r="308" spans="1:13" ht="36" x14ac:dyDescent="0.2">
      <c r="A308" s="315" t="s">
        <v>57</v>
      </c>
      <c r="B308" s="60" t="s">
        <v>262</v>
      </c>
      <c r="C308" s="61" t="s">
        <v>12</v>
      </c>
      <c r="D308" s="62">
        <v>1</v>
      </c>
      <c r="E308" s="206"/>
      <c r="F308" s="199"/>
      <c r="G308" s="200"/>
      <c r="J308" s="23"/>
    </row>
    <row r="309" spans="1:13" ht="36" x14ac:dyDescent="0.2">
      <c r="A309" s="315" t="s">
        <v>58</v>
      </c>
      <c r="B309" s="60" t="s">
        <v>263</v>
      </c>
      <c r="C309" s="61" t="s">
        <v>12</v>
      </c>
      <c r="D309" s="62">
        <v>1</v>
      </c>
      <c r="E309" s="206"/>
      <c r="F309" s="199"/>
      <c r="G309" s="200"/>
    </row>
    <row r="310" spans="1:13" ht="36" x14ac:dyDescent="0.2">
      <c r="A310" s="315" t="s">
        <v>61</v>
      </c>
      <c r="B310" s="60" t="s">
        <v>264</v>
      </c>
      <c r="C310" s="61" t="s">
        <v>12</v>
      </c>
      <c r="D310" s="62">
        <v>1</v>
      </c>
      <c r="E310" s="206"/>
      <c r="F310" s="199"/>
      <c r="G310" s="200"/>
      <c r="I310" s="23"/>
      <c r="J310" s="38"/>
      <c r="K310" s="38"/>
      <c r="L310" s="23"/>
      <c r="M310" s="38"/>
    </row>
    <row r="311" spans="1:13" x14ac:dyDescent="0.2">
      <c r="A311" s="309"/>
      <c r="B311" s="97"/>
      <c r="C311" s="64"/>
      <c r="D311" s="65"/>
      <c r="E311" s="206"/>
      <c r="F311" s="199"/>
      <c r="G311" s="200"/>
      <c r="I311" s="38"/>
      <c r="J311" s="38"/>
      <c r="K311" s="38"/>
      <c r="L311" s="38"/>
      <c r="M311" s="38"/>
    </row>
    <row r="312" spans="1:13" x14ac:dyDescent="0.2">
      <c r="A312" s="309"/>
      <c r="B312" s="97"/>
      <c r="C312" s="64"/>
      <c r="D312" s="65"/>
      <c r="E312" s="206"/>
      <c r="F312" s="199"/>
      <c r="G312" s="200"/>
      <c r="I312" s="38"/>
      <c r="J312" s="38"/>
      <c r="K312" s="38"/>
      <c r="L312" s="38"/>
      <c r="M312" s="38"/>
    </row>
    <row r="313" spans="1:13" x14ac:dyDescent="0.2">
      <c r="A313" s="309"/>
      <c r="B313" s="97"/>
      <c r="C313" s="64"/>
      <c r="D313" s="65"/>
      <c r="E313" s="206"/>
      <c r="F313" s="199"/>
      <c r="G313" s="200"/>
      <c r="I313" s="38"/>
      <c r="J313" s="38"/>
      <c r="K313" s="38"/>
      <c r="L313" s="38"/>
      <c r="M313" s="38"/>
    </row>
    <row r="314" spans="1:13" x14ac:dyDescent="0.2">
      <c r="A314" s="309"/>
      <c r="B314" s="97"/>
      <c r="C314" s="64"/>
      <c r="D314" s="65"/>
      <c r="E314" s="206"/>
      <c r="F314" s="199"/>
      <c r="G314" s="200"/>
      <c r="I314" s="38"/>
      <c r="J314" s="38"/>
      <c r="K314" s="38"/>
      <c r="L314" s="38"/>
      <c r="M314" s="38"/>
    </row>
    <row r="315" spans="1:13" x14ac:dyDescent="0.2">
      <c r="A315" s="309"/>
      <c r="B315" s="97"/>
      <c r="C315" s="64"/>
      <c r="D315" s="65"/>
      <c r="E315" s="206"/>
      <c r="F315" s="199"/>
      <c r="G315" s="200"/>
      <c r="I315" s="38"/>
      <c r="J315" s="38"/>
      <c r="K315" s="38"/>
      <c r="L315" s="38"/>
      <c r="M315" s="38"/>
    </row>
    <row r="316" spans="1:13" x14ac:dyDescent="0.2">
      <c r="A316" s="309"/>
      <c r="B316" s="97"/>
      <c r="C316" s="64"/>
      <c r="D316" s="65"/>
      <c r="E316" s="206"/>
      <c r="F316" s="199"/>
      <c r="G316" s="200"/>
      <c r="I316" s="38"/>
      <c r="J316" s="38"/>
      <c r="K316" s="38"/>
      <c r="L316" s="38"/>
      <c r="M316" s="38"/>
    </row>
    <row r="317" spans="1:13" x14ac:dyDescent="0.2">
      <c r="A317" s="309"/>
      <c r="B317" s="97"/>
      <c r="C317" s="64"/>
      <c r="D317" s="65"/>
      <c r="E317" s="206"/>
      <c r="F317" s="199"/>
      <c r="G317" s="200"/>
      <c r="I317" s="38"/>
      <c r="J317" s="38"/>
      <c r="K317" s="38"/>
      <c r="L317" s="38"/>
      <c r="M317" s="38"/>
    </row>
    <row r="318" spans="1:13" x14ac:dyDescent="0.2">
      <c r="A318" s="309"/>
      <c r="B318" s="97"/>
      <c r="C318" s="64"/>
      <c r="D318" s="65"/>
      <c r="E318" s="206"/>
      <c r="F318" s="199"/>
      <c r="G318" s="200"/>
      <c r="I318" s="38"/>
      <c r="J318" s="38"/>
      <c r="K318" s="38"/>
      <c r="L318" s="38"/>
      <c r="M318" s="38"/>
    </row>
    <row r="319" spans="1:13" x14ac:dyDescent="0.2">
      <c r="A319" s="309"/>
      <c r="B319" s="97"/>
      <c r="C319" s="64"/>
      <c r="D319" s="65"/>
      <c r="E319" s="206"/>
      <c r="F319" s="199"/>
      <c r="G319" s="200"/>
      <c r="I319" s="38"/>
      <c r="J319" s="38"/>
      <c r="K319" s="38"/>
      <c r="L319" s="38"/>
      <c r="M319" s="38"/>
    </row>
    <row r="320" spans="1:13" x14ac:dyDescent="0.2">
      <c r="A320" s="309"/>
      <c r="B320" s="97"/>
      <c r="C320" s="64"/>
      <c r="D320" s="65"/>
      <c r="E320" s="206"/>
      <c r="F320" s="199"/>
      <c r="G320" s="200"/>
      <c r="I320" s="38"/>
      <c r="J320" s="38"/>
      <c r="K320" s="38"/>
      <c r="L320" s="38"/>
      <c r="M320" s="38"/>
    </row>
    <row r="321" spans="1:13" x14ac:dyDescent="0.2">
      <c r="A321" s="309"/>
      <c r="B321" s="97"/>
      <c r="C321" s="64"/>
      <c r="D321" s="65"/>
      <c r="E321" s="206"/>
      <c r="F321" s="199"/>
      <c r="G321" s="200"/>
      <c r="I321" s="38"/>
      <c r="J321" s="38"/>
      <c r="K321" s="38"/>
      <c r="L321" s="38"/>
      <c r="M321" s="38"/>
    </row>
    <row r="322" spans="1:13" x14ac:dyDescent="0.2">
      <c r="A322" s="309"/>
      <c r="B322" s="97"/>
      <c r="C322" s="64"/>
      <c r="D322" s="65"/>
      <c r="E322" s="206"/>
      <c r="F322" s="199"/>
      <c r="G322" s="200"/>
      <c r="I322" s="38"/>
      <c r="J322" s="38"/>
      <c r="K322" s="38"/>
      <c r="L322" s="38"/>
      <c r="M322" s="38"/>
    </row>
    <row r="323" spans="1:13" x14ac:dyDescent="0.2">
      <c r="A323" s="309"/>
      <c r="B323" s="97"/>
      <c r="C323" s="64"/>
      <c r="D323" s="65"/>
      <c r="E323" s="206"/>
      <c r="F323" s="199"/>
      <c r="G323" s="200"/>
      <c r="I323" s="38"/>
      <c r="J323" s="38"/>
      <c r="K323" s="38"/>
      <c r="L323" s="38"/>
      <c r="M323" s="38"/>
    </row>
    <row r="324" spans="1:13" x14ac:dyDescent="0.2">
      <c r="A324" s="309"/>
      <c r="B324" s="97"/>
      <c r="C324" s="64"/>
      <c r="D324" s="65"/>
      <c r="E324" s="206"/>
      <c r="F324" s="199"/>
      <c r="G324" s="200"/>
      <c r="I324" s="38"/>
      <c r="J324" s="38"/>
      <c r="K324" s="38"/>
      <c r="L324" s="38"/>
      <c r="M324" s="38"/>
    </row>
    <row r="325" spans="1:13" ht="12.75" thickBot="1" x14ac:dyDescent="0.25">
      <c r="A325" s="309"/>
      <c r="B325" s="97"/>
      <c r="C325" s="64"/>
      <c r="D325" s="65"/>
      <c r="E325" s="206"/>
      <c r="F325" s="199"/>
      <c r="G325" s="200"/>
      <c r="I325" s="38"/>
      <c r="J325" s="38"/>
      <c r="K325" s="38"/>
      <c r="L325" s="38"/>
      <c r="M325" s="38"/>
    </row>
    <row r="326" spans="1:13" x14ac:dyDescent="0.2">
      <c r="A326" s="303"/>
      <c r="B326" s="160" t="s">
        <v>127</v>
      </c>
      <c r="C326" s="166"/>
      <c r="D326" s="162"/>
      <c r="E326" s="265"/>
      <c r="F326" s="266"/>
      <c r="G326" s="267"/>
    </row>
    <row r="327" spans="1:13" ht="12.75" thickBot="1" x14ac:dyDescent="0.25">
      <c r="A327" s="304"/>
      <c r="B327" s="163" t="s">
        <v>139</v>
      </c>
      <c r="C327" s="167"/>
      <c r="D327" s="165"/>
      <c r="E327" s="262"/>
      <c r="F327" s="268"/>
      <c r="G327" s="269"/>
    </row>
    <row r="328" spans="1:13" x14ac:dyDescent="0.2">
      <c r="A328" s="129"/>
      <c r="B328" s="116"/>
      <c r="C328" s="51"/>
      <c r="D328" s="52"/>
      <c r="E328" s="196"/>
      <c r="F328" s="199"/>
      <c r="G328" s="218"/>
    </row>
    <row r="329" spans="1:13" x14ac:dyDescent="0.2">
      <c r="A329" s="129"/>
      <c r="B329" s="98" t="s">
        <v>92</v>
      </c>
      <c r="C329" s="51"/>
      <c r="D329" s="52"/>
      <c r="E329" s="196"/>
      <c r="F329" s="199"/>
      <c r="G329" s="200"/>
    </row>
    <row r="330" spans="1:13" x14ac:dyDescent="0.2">
      <c r="A330" s="129"/>
      <c r="B330" s="67" t="s">
        <v>93</v>
      </c>
      <c r="C330" s="51"/>
      <c r="D330" s="52"/>
      <c r="E330" s="196"/>
      <c r="F330" s="199"/>
      <c r="G330" s="200"/>
    </row>
    <row r="331" spans="1:13" x14ac:dyDescent="0.2">
      <c r="A331" s="129" t="s">
        <v>417</v>
      </c>
      <c r="B331" s="112" t="s">
        <v>36</v>
      </c>
      <c r="C331" s="51"/>
      <c r="D331" s="52"/>
      <c r="E331" s="196"/>
      <c r="F331" s="199"/>
      <c r="G331" s="200"/>
    </row>
    <row r="332" spans="1:13" ht="60" x14ac:dyDescent="0.2">
      <c r="A332" s="129"/>
      <c r="B332" s="89" t="s">
        <v>166</v>
      </c>
      <c r="C332" s="89"/>
      <c r="D332" s="89"/>
      <c r="E332" s="223"/>
      <c r="F332" s="223"/>
      <c r="G332" s="224"/>
    </row>
    <row r="333" spans="1:13" ht="72" x14ac:dyDescent="0.2">
      <c r="A333" s="129"/>
      <c r="B333" s="89" t="s">
        <v>165</v>
      </c>
      <c r="C333" s="99"/>
      <c r="D333" s="99"/>
      <c r="E333" s="225"/>
      <c r="F333" s="225"/>
      <c r="G333" s="226"/>
    </row>
    <row r="334" spans="1:13" ht="36" x14ac:dyDescent="0.2">
      <c r="A334" s="129"/>
      <c r="B334" s="89" t="s">
        <v>212</v>
      </c>
      <c r="C334" s="99"/>
      <c r="D334" s="99"/>
      <c r="E334" s="225"/>
      <c r="F334" s="225"/>
      <c r="G334" s="226"/>
    </row>
    <row r="335" spans="1:13" x14ac:dyDescent="0.2">
      <c r="A335" s="309"/>
      <c r="B335" s="113" t="s">
        <v>116</v>
      </c>
      <c r="C335" s="61"/>
      <c r="D335" s="62"/>
      <c r="E335" s="206"/>
      <c r="F335" s="199"/>
      <c r="G335" s="200"/>
    </row>
    <row r="336" spans="1:13" x14ac:dyDescent="0.2">
      <c r="A336" s="311" t="s">
        <v>418</v>
      </c>
      <c r="B336" s="340" t="s">
        <v>115</v>
      </c>
      <c r="C336" s="240"/>
      <c r="D336" s="241"/>
      <c r="E336" s="216"/>
      <c r="F336" s="217"/>
      <c r="G336" s="218"/>
      <c r="I336" s="23"/>
    </row>
    <row r="337" spans="1:13" ht="24" x14ac:dyDescent="0.2">
      <c r="A337" s="309" t="s">
        <v>135</v>
      </c>
      <c r="B337" s="60" t="s">
        <v>422</v>
      </c>
      <c r="C337" s="61" t="s">
        <v>121</v>
      </c>
      <c r="D337" s="62">
        <v>102.14999999999999</v>
      </c>
      <c r="E337" s="206"/>
      <c r="F337" s="199"/>
      <c r="G337" s="200"/>
      <c r="I337" s="38" t="e">
        <f>#REF!+#REF!</f>
        <v>#REF!</v>
      </c>
      <c r="J337" s="38" t="e">
        <f>I337*0.45</f>
        <v>#REF!</v>
      </c>
    </row>
    <row r="338" spans="1:13" x14ac:dyDescent="0.2">
      <c r="A338" s="311" t="s">
        <v>419</v>
      </c>
      <c r="B338" s="340" t="s">
        <v>59</v>
      </c>
      <c r="C338" s="240"/>
      <c r="D338" s="241"/>
      <c r="E338" s="216"/>
      <c r="F338" s="217"/>
      <c r="G338" s="218"/>
    </row>
    <row r="339" spans="1:13" x14ac:dyDescent="0.2">
      <c r="A339" s="309" t="s">
        <v>135</v>
      </c>
      <c r="B339" s="114" t="s">
        <v>233</v>
      </c>
      <c r="C339" s="64"/>
      <c r="D339" s="65"/>
      <c r="E339" s="216"/>
      <c r="F339" s="217"/>
      <c r="G339" s="200"/>
    </row>
    <row r="340" spans="1:13" ht="13.5" x14ac:dyDescent="0.2">
      <c r="A340" s="315" t="s">
        <v>149</v>
      </c>
      <c r="B340" s="60" t="s">
        <v>423</v>
      </c>
      <c r="C340" s="61" t="s">
        <v>121</v>
      </c>
      <c r="D340" s="62">
        <v>91.122500000000002</v>
      </c>
      <c r="E340" s="206"/>
      <c r="F340" s="199"/>
      <c r="G340" s="200"/>
      <c r="I340" s="13">
        <f>3*19+4.02*2+4.08*2</f>
        <v>73.199999999999989</v>
      </c>
      <c r="J340" s="13">
        <f>I340*3.275</f>
        <v>239.72999999999996</v>
      </c>
      <c r="K340" s="38">
        <v>81</v>
      </c>
      <c r="L340" s="13">
        <f>J340-K340</f>
        <v>158.72999999999996</v>
      </c>
      <c r="M340" s="13">
        <f>L340*103%</f>
        <v>163.49189999999996</v>
      </c>
    </row>
    <row r="341" spans="1:13" x14ac:dyDescent="0.2">
      <c r="A341" s="309" t="s">
        <v>136</v>
      </c>
      <c r="B341" s="114" t="s">
        <v>232</v>
      </c>
      <c r="C341" s="64"/>
      <c r="D341" s="65"/>
      <c r="E341" s="216"/>
      <c r="F341" s="217"/>
      <c r="G341" s="200"/>
    </row>
    <row r="342" spans="1:13" ht="13.5" x14ac:dyDescent="0.2">
      <c r="A342" s="315" t="s">
        <v>149</v>
      </c>
      <c r="B342" s="60" t="s">
        <v>423</v>
      </c>
      <c r="C342" s="61" t="s">
        <v>121</v>
      </c>
      <c r="D342" s="62">
        <v>189.75</v>
      </c>
      <c r="E342" s="206"/>
      <c r="F342" s="199"/>
      <c r="G342" s="200"/>
      <c r="I342" s="13">
        <f>4.08*5+4.02*5</f>
        <v>40.5</v>
      </c>
      <c r="J342" s="13">
        <f>I342*3.05</f>
        <v>123.52499999999999</v>
      </c>
    </row>
    <row r="343" spans="1:13" ht="13.5" x14ac:dyDescent="0.2">
      <c r="A343" s="315" t="s">
        <v>421</v>
      </c>
      <c r="B343" s="60" t="s">
        <v>424</v>
      </c>
      <c r="C343" s="61" t="s">
        <v>121</v>
      </c>
      <c r="D343" s="62">
        <v>36</v>
      </c>
      <c r="E343" s="206"/>
      <c r="F343" s="199"/>
      <c r="G343" s="200"/>
      <c r="I343" s="13">
        <f>4.08*5+4.02*5</f>
        <v>40.5</v>
      </c>
      <c r="J343" s="13">
        <f>I343*3.05</f>
        <v>123.52499999999999</v>
      </c>
    </row>
    <row r="344" spans="1:13" x14ac:dyDescent="0.2">
      <c r="A344" s="309"/>
      <c r="B344" s="115"/>
      <c r="C344" s="61"/>
      <c r="D344" s="62"/>
      <c r="E344" s="206"/>
      <c r="F344" s="199"/>
      <c r="G344" s="200"/>
    </row>
    <row r="345" spans="1:13" x14ac:dyDescent="0.2">
      <c r="A345" s="311" t="s">
        <v>420</v>
      </c>
      <c r="B345" s="340" t="s">
        <v>60</v>
      </c>
      <c r="C345" s="240"/>
      <c r="D345" s="241"/>
      <c r="E345" s="216"/>
      <c r="F345" s="217"/>
      <c r="G345" s="218"/>
    </row>
    <row r="346" spans="1:13" x14ac:dyDescent="0.2">
      <c r="A346" s="309" t="s">
        <v>135</v>
      </c>
      <c r="B346" s="114" t="s">
        <v>233</v>
      </c>
      <c r="C346" s="64"/>
      <c r="D346" s="65"/>
      <c r="E346" s="216"/>
      <c r="F346" s="217"/>
      <c r="G346" s="200"/>
    </row>
    <row r="347" spans="1:13" ht="13.5" x14ac:dyDescent="0.2">
      <c r="A347" s="315" t="s">
        <v>149</v>
      </c>
      <c r="B347" s="60" t="s">
        <v>423</v>
      </c>
      <c r="C347" s="61" t="s">
        <v>121</v>
      </c>
      <c r="D347" s="62">
        <v>91.122500000000002</v>
      </c>
      <c r="E347" s="206"/>
      <c r="F347" s="199"/>
      <c r="G347" s="200"/>
      <c r="I347" s="13">
        <f>3*19+4.02*2+4.08*2</f>
        <v>73.199999999999989</v>
      </c>
      <c r="J347" s="13">
        <f>I347*3.1</f>
        <v>226.91999999999996</v>
      </c>
      <c r="K347" s="38">
        <v>85</v>
      </c>
      <c r="L347" s="13">
        <f>J347-K347</f>
        <v>141.91999999999996</v>
      </c>
      <c r="M347" s="13">
        <f>L347*103%</f>
        <v>146.17759999999996</v>
      </c>
    </row>
    <row r="348" spans="1:13" x14ac:dyDescent="0.2">
      <c r="A348" s="309" t="s">
        <v>136</v>
      </c>
      <c r="B348" s="114" t="s">
        <v>232</v>
      </c>
      <c r="C348" s="64"/>
      <c r="D348" s="65"/>
      <c r="E348" s="216"/>
      <c r="F348" s="217"/>
      <c r="G348" s="200"/>
    </row>
    <row r="349" spans="1:13" ht="13.5" x14ac:dyDescent="0.2">
      <c r="A349" s="315" t="s">
        <v>149</v>
      </c>
      <c r="B349" s="60" t="s">
        <v>423</v>
      </c>
      <c r="C349" s="61" t="s">
        <v>121</v>
      </c>
      <c r="D349" s="62">
        <v>168.28</v>
      </c>
      <c r="E349" s="206"/>
      <c r="F349" s="199"/>
      <c r="G349" s="200"/>
      <c r="I349" s="13">
        <f>4.08*5+4.02*5</f>
        <v>40.5</v>
      </c>
      <c r="J349" s="13">
        <f>I349*3.1</f>
        <v>125.55</v>
      </c>
    </row>
    <row r="350" spans="1:13" ht="13.5" x14ac:dyDescent="0.2">
      <c r="A350" s="315" t="s">
        <v>150</v>
      </c>
      <c r="B350" s="60" t="s">
        <v>424</v>
      </c>
      <c r="C350" s="61" t="s">
        <v>121</v>
      </c>
      <c r="D350" s="62">
        <v>36</v>
      </c>
      <c r="E350" s="206"/>
      <c r="F350" s="199"/>
      <c r="G350" s="200"/>
      <c r="I350" s="13">
        <f>4.08*5+4.02*5</f>
        <v>40.5</v>
      </c>
      <c r="J350" s="13">
        <f>I350*3.1</f>
        <v>125.55</v>
      </c>
    </row>
    <row r="351" spans="1:13" x14ac:dyDescent="0.2">
      <c r="A351" s="309"/>
      <c r="B351" s="115"/>
      <c r="C351" s="61"/>
      <c r="D351" s="62"/>
      <c r="E351" s="206"/>
      <c r="F351" s="199"/>
      <c r="G351" s="200"/>
      <c r="K351" s="23"/>
      <c r="L351" s="23"/>
    </row>
    <row r="352" spans="1:13" x14ac:dyDescent="0.2">
      <c r="A352" s="309"/>
      <c r="B352" s="115"/>
      <c r="C352" s="61"/>
      <c r="D352" s="62"/>
      <c r="E352" s="206"/>
      <c r="F352" s="199"/>
      <c r="G352" s="200"/>
      <c r="K352" s="23"/>
      <c r="L352" s="23"/>
    </row>
    <row r="353" spans="1:17" x14ac:dyDescent="0.2">
      <c r="A353" s="311" t="s">
        <v>425</v>
      </c>
      <c r="B353" s="340" t="s">
        <v>234</v>
      </c>
      <c r="C353" s="240"/>
      <c r="D353" s="241"/>
      <c r="E353" s="216"/>
      <c r="F353" s="217"/>
      <c r="G353" s="218"/>
      <c r="K353" s="23"/>
    </row>
    <row r="354" spans="1:17" x14ac:dyDescent="0.2">
      <c r="A354" s="309" t="s">
        <v>135</v>
      </c>
      <c r="B354" s="114" t="s">
        <v>235</v>
      </c>
      <c r="C354" s="64"/>
      <c r="D354" s="65"/>
      <c r="E354" s="216"/>
      <c r="F354" s="217"/>
      <c r="G354" s="200"/>
      <c r="K354" s="23"/>
    </row>
    <row r="355" spans="1:17" ht="13.5" x14ac:dyDescent="0.2">
      <c r="A355" s="309"/>
      <c r="B355" s="60" t="s">
        <v>423</v>
      </c>
      <c r="C355" s="61" t="s">
        <v>121</v>
      </c>
      <c r="D355" s="62">
        <v>17.600000000000001</v>
      </c>
      <c r="E355" s="206"/>
      <c r="F355" s="199"/>
      <c r="G355" s="200"/>
      <c r="I355" s="13">
        <f>(5.487+1.95)*2</f>
        <v>14.874000000000001</v>
      </c>
      <c r="K355" s="23"/>
      <c r="L355" s="23"/>
    </row>
    <row r="356" spans="1:17" ht="13.5" customHeight="1" thickBot="1" x14ac:dyDescent="0.25">
      <c r="A356" s="312"/>
      <c r="B356" s="169"/>
      <c r="C356" s="142"/>
      <c r="D356" s="168"/>
      <c r="E356" s="206"/>
      <c r="F356" s="199"/>
      <c r="G356" s="200"/>
      <c r="K356" s="23"/>
    </row>
    <row r="357" spans="1:17" ht="13.5" customHeight="1" x14ac:dyDescent="0.2">
      <c r="A357" s="309"/>
      <c r="B357" s="115"/>
      <c r="C357" s="61"/>
      <c r="D357" s="62"/>
      <c r="E357" s="206"/>
      <c r="F357" s="199"/>
      <c r="G357" s="200"/>
      <c r="K357" s="23"/>
    </row>
    <row r="358" spans="1:17" s="242" customFormat="1" ht="12" customHeight="1" x14ac:dyDescent="0.2">
      <c r="A358" s="307" t="s">
        <v>426</v>
      </c>
      <c r="B358" s="250" t="s">
        <v>94</v>
      </c>
      <c r="C358" s="248"/>
      <c r="D358" s="219"/>
      <c r="E358" s="196"/>
      <c r="F358" s="219"/>
      <c r="G358" s="227"/>
      <c r="K358" s="251"/>
    </row>
    <row r="359" spans="1:17" ht="105.75" customHeight="1" x14ac:dyDescent="0.2">
      <c r="A359" s="129"/>
      <c r="B359" s="89" t="s">
        <v>431</v>
      </c>
      <c r="C359" s="89"/>
      <c r="D359" s="89"/>
      <c r="E359" s="223"/>
      <c r="F359" s="223"/>
      <c r="G359" s="226"/>
    </row>
    <row r="360" spans="1:17" ht="24.75" customHeight="1" x14ac:dyDescent="0.2">
      <c r="A360" s="129"/>
      <c r="B360" s="89" t="s">
        <v>432</v>
      </c>
      <c r="C360" s="89"/>
      <c r="D360" s="89"/>
      <c r="E360" s="223"/>
      <c r="F360" s="225"/>
      <c r="G360" s="226"/>
    </row>
    <row r="361" spans="1:17" ht="52.5" customHeight="1" x14ac:dyDescent="0.2">
      <c r="A361" s="129"/>
      <c r="B361" s="89" t="s">
        <v>211</v>
      </c>
      <c r="C361" s="89"/>
      <c r="D361" s="89"/>
      <c r="E361" s="223"/>
      <c r="F361" s="225"/>
      <c r="G361" s="226"/>
    </row>
    <row r="362" spans="1:17" x14ac:dyDescent="0.2">
      <c r="A362" s="311" t="s">
        <v>427</v>
      </c>
      <c r="B362" s="340" t="s">
        <v>115</v>
      </c>
      <c r="C362" s="240"/>
      <c r="D362" s="241"/>
      <c r="E362" s="216"/>
      <c r="F362" s="217"/>
      <c r="G362" s="218"/>
    </row>
    <row r="363" spans="1:17" ht="12" customHeight="1" x14ac:dyDescent="0.2">
      <c r="A363" s="309" t="s">
        <v>135</v>
      </c>
      <c r="B363" s="113" t="s">
        <v>430</v>
      </c>
      <c r="C363" s="64"/>
      <c r="D363" s="65"/>
      <c r="E363" s="216"/>
      <c r="F363" s="217"/>
      <c r="G363" s="200"/>
    </row>
    <row r="364" spans="1:17" ht="12.75" customHeight="1" x14ac:dyDescent="0.2">
      <c r="A364" s="309"/>
      <c r="B364" s="115" t="s">
        <v>429</v>
      </c>
      <c r="C364" s="61" t="s">
        <v>121</v>
      </c>
      <c r="D364" s="62">
        <v>204.29999999999998</v>
      </c>
      <c r="E364" s="206"/>
      <c r="F364" s="199"/>
      <c r="G364" s="200"/>
    </row>
    <row r="365" spans="1:17" ht="12.75" customHeight="1" x14ac:dyDescent="0.2">
      <c r="A365" s="311" t="s">
        <v>428</v>
      </c>
      <c r="B365" s="340" t="s">
        <v>59</v>
      </c>
      <c r="C365" s="240"/>
      <c r="D365" s="241"/>
      <c r="E365" s="216"/>
      <c r="F365" s="217"/>
      <c r="G365" s="218"/>
    </row>
    <row r="366" spans="1:17" ht="12.75" customHeight="1" x14ac:dyDescent="0.2">
      <c r="A366" s="309" t="s">
        <v>135</v>
      </c>
      <c r="B366" s="114" t="s">
        <v>202</v>
      </c>
      <c r="C366" s="64"/>
      <c r="D366" s="65"/>
      <c r="E366" s="216"/>
      <c r="F366" s="228"/>
      <c r="G366" s="200"/>
      <c r="H366" s="39"/>
      <c r="I366" s="13">
        <f>32.2*2+8.7*2</f>
        <v>81.800000000000011</v>
      </c>
      <c r="J366" s="13">
        <f>I366*3.875</f>
        <v>316.97500000000002</v>
      </c>
      <c r="K366" s="38">
        <v>81</v>
      </c>
      <c r="L366" s="38">
        <f>J366-K366</f>
        <v>235.97500000000002</v>
      </c>
      <c r="M366" s="38">
        <f>L366*103%</f>
        <v>243.05425000000002</v>
      </c>
      <c r="N366" s="13">
        <f>1.5*3.875</f>
        <v>5.8125</v>
      </c>
      <c r="O366" s="38">
        <f>M366-N366</f>
        <v>237.24175000000002</v>
      </c>
      <c r="P366" s="13">
        <f>33.2+4</f>
        <v>37.200000000000003</v>
      </c>
      <c r="Q366" s="13">
        <f>P366*0.65</f>
        <v>24.180000000000003</v>
      </c>
    </row>
    <row r="367" spans="1:17" ht="12.75" customHeight="1" x14ac:dyDescent="0.2">
      <c r="A367" s="309"/>
      <c r="B367" s="115" t="s">
        <v>117</v>
      </c>
      <c r="C367" s="61" t="s">
        <v>121</v>
      </c>
      <c r="D367" s="62">
        <v>91.122500000000002</v>
      </c>
      <c r="E367" s="206"/>
      <c r="F367" s="199"/>
      <c r="G367" s="200"/>
      <c r="I367" s="13">
        <f>0.45*1.725*9</f>
        <v>6.986250000000001</v>
      </c>
      <c r="P367" s="13">
        <f>0.8*11*3.05</f>
        <v>26.84</v>
      </c>
      <c r="Q367" s="38">
        <f>Q366+O366+P367</f>
        <v>288.26175000000001</v>
      </c>
    </row>
    <row r="368" spans="1:17" ht="12.75" customHeight="1" x14ac:dyDescent="0.2">
      <c r="A368" s="315" t="s">
        <v>136</v>
      </c>
      <c r="B368" s="97" t="s">
        <v>203</v>
      </c>
      <c r="C368" s="64"/>
      <c r="D368" s="65"/>
      <c r="E368" s="216"/>
      <c r="F368" s="217"/>
      <c r="G368" s="200"/>
      <c r="I368" s="13">
        <f>8.3*5</f>
        <v>41.5</v>
      </c>
      <c r="J368" s="13">
        <f>I368*3.35*2</f>
        <v>278.05</v>
      </c>
      <c r="L368" s="13">
        <f>6.225*8+3*3+8.5*2</f>
        <v>75.8</v>
      </c>
      <c r="M368" s="13">
        <f>L368*3.35</f>
        <v>253.93</v>
      </c>
      <c r="N368" s="38">
        <f>M368-K366</f>
        <v>172.93</v>
      </c>
    </row>
    <row r="369" spans="1:17" ht="25.5" customHeight="1" x14ac:dyDescent="0.2">
      <c r="A369" s="309"/>
      <c r="B369" s="60" t="s">
        <v>204</v>
      </c>
      <c r="C369" s="61" t="s">
        <v>121</v>
      </c>
      <c r="D369" s="62">
        <v>542.62249999999995</v>
      </c>
      <c r="E369" s="206"/>
      <c r="F369" s="199"/>
      <c r="G369" s="200"/>
      <c r="I369" s="13">
        <f>3.45+2.75+1.55*5+2.7</f>
        <v>16.649999999999999</v>
      </c>
      <c r="J369" s="13">
        <f>I369*3.35*2</f>
        <v>111.55499999999999</v>
      </c>
      <c r="K369" s="13">
        <f>0.78*2*4</f>
        <v>6.24</v>
      </c>
      <c r="L369" s="13">
        <f>J369-K369</f>
        <v>105.315</v>
      </c>
      <c r="N369" s="38">
        <f>N368+L369+J368</f>
        <v>556.29500000000007</v>
      </c>
      <c r="O369" s="38">
        <f>N369*103%</f>
        <v>572.98385000000007</v>
      </c>
    </row>
    <row r="370" spans="1:17" ht="12.75" customHeight="1" x14ac:dyDescent="0.2">
      <c r="A370" s="315"/>
      <c r="B370" s="97"/>
      <c r="C370" s="64"/>
      <c r="D370" s="65"/>
      <c r="E370" s="216"/>
      <c r="F370" s="217"/>
      <c r="G370" s="200"/>
    </row>
    <row r="371" spans="1:17" ht="12.75" customHeight="1" x14ac:dyDescent="0.2">
      <c r="A371" s="311" t="s">
        <v>433</v>
      </c>
      <c r="B371" s="340" t="s">
        <v>60</v>
      </c>
      <c r="C371" s="240"/>
      <c r="D371" s="241"/>
      <c r="E371" s="216"/>
      <c r="F371" s="217"/>
      <c r="G371" s="218"/>
      <c r="I371" s="13">
        <f>32.2*2+8.7*2</f>
        <v>81.800000000000011</v>
      </c>
      <c r="J371" s="13">
        <f>I371*3.5</f>
        <v>286.30000000000007</v>
      </c>
      <c r="K371" s="38">
        <v>85</v>
      </c>
      <c r="L371" s="38">
        <f>J371-K371</f>
        <v>201.30000000000007</v>
      </c>
      <c r="M371" s="38">
        <f>L371*103%</f>
        <v>207.33900000000008</v>
      </c>
      <c r="N371" s="13">
        <f>3*3.05</f>
        <v>9.1499999999999986</v>
      </c>
      <c r="O371" s="38">
        <f>M371-N371</f>
        <v>198.18900000000008</v>
      </c>
      <c r="P371" s="13">
        <f>33.2+4</f>
        <v>37.200000000000003</v>
      </c>
      <c r="Q371" s="13">
        <f>P371*0.65</f>
        <v>24.180000000000003</v>
      </c>
    </row>
    <row r="372" spans="1:17" ht="12.75" customHeight="1" x14ac:dyDescent="0.2">
      <c r="A372" s="309" t="s">
        <v>135</v>
      </c>
      <c r="B372" s="114" t="s">
        <v>202</v>
      </c>
      <c r="C372" s="64"/>
      <c r="D372" s="65"/>
      <c r="E372" s="216"/>
      <c r="F372" s="228"/>
      <c r="G372" s="200"/>
      <c r="I372" s="13">
        <f>0.45*1.725*9</f>
        <v>6.986250000000001</v>
      </c>
      <c r="M372" s="13">
        <f>33.6*1.8</f>
        <v>60.480000000000004</v>
      </c>
      <c r="N372" s="38">
        <f>M372+Q372</f>
        <v>309.68900000000008</v>
      </c>
      <c r="P372" s="13">
        <f>0.8*11*3.05</f>
        <v>26.84</v>
      </c>
      <c r="Q372" s="38">
        <f>Q371+O371+P372</f>
        <v>249.20900000000009</v>
      </c>
    </row>
    <row r="373" spans="1:17" ht="12.75" customHeight="1" x14ac:dyDescent="0.2">
      <c r="A373" s="309"/>
      <c r="B373" s="115" t="s">
        <v>295</v>
      </c>
      <c r="C373" s="61" t="s">
        <v>121</v>
      </c>
      <c r="D373" s="62">
        <v>91.122500000000002</v>
      </c>
      <c r="E373" s="206"/>
      <c r="F373" s="199"/>
      <c r="G373" s="200"/>
    </row>
    <row r="374" spans="1:17" ht="12.75" customHeight="1" x14ac:dyDescent="0.2">
      <c r="A374" s="315" t="s">
        <v>136</v>
      </c>
      <c r="B374" s="97" t="s">
        <v>203</v>
      </c>
      <c r="C374" s="64"/>
      <c r="D374" s="65"/>
      <c r="E374" s="216"/>
      <c r="F374" s="217"/>
      <c r="G374" s="200"/>
      <c r="I374" s="13">
        <f>8.3*5</f>
        <v>41.5</v>
      </c>
      <c r="J374" s="13">
        <f>I374*3.5*2</f>
        <v>290.5</v>
      </c>
      <c r="L374" s="13">
        <f>6.225*8+3*3+8.5*2</f>
        <v>75.8</v>
      </c>
      <c r="M374" s="13">
        <f>L374*3.5</f>
        <v>265.3</v>
      </c>
      <c r="N374" s="38">
        <f>M374-K371</f>
        <v>180.3</v>
      </c>
    </row>
    <row r="375" spans="1:17" ht="24" customHeight="1" x14ac:dyDescent="0.2">
      <c r="A375" s="309"/>
      <c r="B375" s="60" t="s">
        <v>204</v>
      </c>
      <c r="C375" s="61" t="s">
        <v>121</v>
      </c>
      <c r="D375" s="62">
        <v>499.6825</v>
      </c>
      <c r="E375" s="206"/>
      <c r="F375" s="199"/>
      <c r="G375" s="200"/>
      <c r="I375" s="13">
        <f>3.45+2.75+1.55*5+3</f>
        <v>16.95</v>
      </c>
      <c r="J375" s="13">
        <f>I375*3.5*2</f>
        <v>118.64999999999999</v>
      </c>
      <c r="K375" s="13">
        <f>0.78*2*4+0.95*2.83</f>
        <v>8.9284999999999997</v>
      </c>
      <c r="L375" s="13">
        <f>J375-K375</f>
        <v>109.72149999999999</v>
      </c>
      <c r="N375" s="38">
        <f>N374+L375+J374</f>
        <v>580.52150000000006</v>
      </c>
      <c r="O375" s="38">
        <f>N375*103%</f>
        <v>597.9371450000001</v>
      </c>
    </row>
    <row r="376" spans="1:17" ht="12.75" customHeight="1" x14ac:dyDescent="0.2">
      <c r="A376" s="309"/>
      <c r="B376" s="60"/>
      <c r="C376" s="61"/>
      <c r="D376" s="62"/>
      <c r="E376" s="206"/>
      <c r="F376" s="199"/>
      <c r="G376" s="200"/>
      <c r="O376" s="23"/>
      <c r="P376" s="23"/>
    </row>
    <row r="377" spans="1:17" ht="12.75" customHeight="1" x14ac:dyDescent="0.2">
      <c r="A377" s="311" t="s">
        <v>434</v>
      </c>
      <c r="B377" s="340" t="s">
        <v>213</v>
      </c>
      <c r="C377" s="240"/>
      <c r="D377" s="241"/>
      <c r="E377" s="216"/>
      <c r="F377" s="217"/>
      <c r="G377" s="218"/>
      <c r="K377" s="23"/>
    </row>
    <row r="378" spans="1:17" ht="12.75" customHeight="1" x14ac:dyDescent="0.2">
      <c r="A378" s="309" t="s">
        <v>135</v>
      </c>
      <c r="B378" s="114" t="s">
        <v>202</v>
      </c>
      <c r="C378" s="64"/>
      <c r="D378" s="65"/>
      <c r="E378" s="216"/>
      <c r="F378" s="228"/>
      <c r="G378" s="200"/>
      <c r="K378" s="23"/>
    </row>
    <row r="379" spans="1:17" ht="12.75" customHeight="1" x14ac:dyDescent="0.2">
      <c r="A379" s="309"/>
      <c r="B379" s="115" t="s">
        <v>117</v>
      </c>
      <c r="C379" s="61" t="s">
        <v>121</v>
      </c>
      <c r="D379" s="62">
        <v>17.600000000000001</v>
      </c>
      <c r="E379" s="206"/>
      <c r="F379" s="199"/>
      <c r="G379" s="200"/>
      <c r="K379" s="23"/>
      <c r="L379" s="23"/>
      <c r="O379" s="23"/>
    </row>
    <row r="380" spans="1:17" ht="12.75" customHeight="1" x14ac:dyDescent="0.2">
      <c r="A380" s="315" t="s">
        <v>136</v>
      </c>
      <c r="B380" s="97" t="s">
        <v>203</v>
      </c>
      <c r="C380" s="64"/>
      <c r="D380" s="65"/>
      <c r="E380" s="216"/>
      <c r="F380" s="217"/>
      <c r="G380" s="200"/>
      <c r="K380" s="23"/>
    </row>
    <row r="381" spans="1:17" ht="12.75" customHeight="1" x14ac:dyDescent="0.2">
      <c r="A381" s="309"/>
      <c r="B381" s="60" t="s">
        <v>236</v>
      </c>
      <c r="C381" s="61" t="s">
        <v>121</v>
      </c>
      <c r="D381" s="62">
        <v>17.600000000000001</v>
      </c>
      <c r="E381" s="206"/>
      <c r="F381" s="199"/>
      <c r="G381" s="200"/>
      <c r="K381" s="13">
        <f>1.69*2.45*6</f>
        <v>24.843000000000004</v>
      </c>
      <c r="L381" s="23">
        <f>0.95*2.83*6</f>
        <v>16.131</v>
      </c>
      <c r="M381" s="23">
        <f>1.575*2*6</f>
        <v>18.899999999999999</v>
      </c>
      <c r="N381" s="23">
        <f>1.24*1.69</f>
        <v>2.0956000000000001</v>
      </c>
      <c r="O381" s="13">
        <f>0.7*0.55*2</f>
        <v>0.77</v>
      </c>
      <c r="P381" s="13">
        <f>SUM(K381:O381)</f>
        <v>62.739600000000003</v>
      </c>
    </row>
    <row r="382" spans="1:17" x14ac:dyDescent="0.2">
      <c r="A382" s="315"/>
      <c r="B382" s="97"/>
      <c r="C382" s="61"/>
      <c r="D382" s="62"/>
      <c r="E382" s="206"/>
      <c r="F382" s="199"/>
      <c r="G382" s="200"/>
    </row>
    <row r="383" spans="1:17" ht="12.75" thickBot="1" x14ac:dyDescent="0.25">
      <c r="A383" s="315"/>
      <c r="B383" s="97"/>
      <c r="C383" s="61"/>
      <c r="D383" s="62"/>
      <c r="E383" s="206"/>
      <c r="F383" s="199"/>
      <c r="G383" s="200"/>
    </row>
    <row r="384" spans="1:17" x14ac:dyDescent="0.2">
      <c r="A384" s="303"/>
      <c r="B384" s="160" t="s">
        <v>126</v>
      </c>
      <c r="C384" s="166"/>
      <c r="D384" s="162"/>
      <c r="E384" s="265"/>
      <c r="F384" s="266"/>
      <c r="G384" s="267"/>
    </row>
    <row r="385" spans="1:13" ht="12.75" thickBot="1" x14ac:dyDescent="0.25">
      <c r="A385" s="304"/>
      <c r="B385" s="163" t="s">
        <v>162</v>
      </c>
      <c r="C385" s="167"/>
      <c r="D385" s="165"/>
      <c r="E385" s="262"/>
      <c r="F385" s="268"/>
      <c r="G385" s="269"/>
    </row>
    <row r="386" spans="1:13" x14ac:dyDescent="0.2">
      <c r="A386" s="129"/>
      <c r="B386" s="116"/>
      <c r="C386" s="51"/>
      <c r="D386" s="52"/>
      <c r="E386" s="196"/>
      <c r="F386" s="199"/>
      <c r="G386" s="218"/>
    </row>
    <row r="387" spans="1:13" x14ac:dyDescent="0.2">
      <c r="A387" s="324"/>
      <c r="B387" s="289" t="s">
        <v>95</v>
      </c>
      <c r="C387" s="103"/>
      <c r="D387" s="69"/>
      <c r="E387" s="196"/>
      <c r="F387" s="199"/>
      <c r="G387" s="200"/>
    </row>
    <row r="388" spans="1:13" x14ac:dyDescent="0.2">
      <c r="A388" s="324"/>
      <c r="B388" s="104" t="s">
        <v>96</v>
      </c>
      <c r="C388" s="103"/>
      <c r="D388" s="69"/>
      <c r="E388" s="196"/>
      <c r="F388" s="199"/>
      <c r="G388" s="200"/>
    </row>
    <row r="389" spans="1:13" x14ac:dyDescent="0.2">
      <c r="A389" s="129" t="s">
        <v>435</v>
      </c>
      <c r="B389" s="70" t="s">
        <v>36</v>
      </c>
      <c r="C389" s="68"/>
      <c r="D389" s="69"/>
      <c r="E389" s="196"/>
      <c r="F389" s="199"/>
      <c r="G389" s="200"/>
    </row>
    <row r="390" spans="1:13" ht="48" x14ac:dyDescent="0.2">
      <c r="A390" s="129"/>
      <c r="B390" s="89" t="s">
        <v>118</v>
      </c>
      <c r="C390" s="89"/>
      <c r="D390" s="89"/>
      <c r="E390" s="223"/>
      <c r="F390" s="223"/>
      <c r="G390" s="224"/>
    </row>
    <row r="391" spans="1:13" s="242" customFormat="1" x14ac:dyDescent="0.2">
      <c r="A391" s="308"/>
      <c r="B391" s="252" t="s">
        <v>167</v>
      </c>
      <c r="C391" s="253"/>
      <c r="D391" s="254"/>
      <c r="E391" s="196"/>
      <c r="F391" s="199"/>
      <c r="G391" s="200"/>
    </row>
    <row r="392" spans="1:13" ht="12.75" x14ac:dyDescent="0.2">
      <c r="A392" s="316"/>
      <c r="B392" s="105" t="s">
        <v>174</v>
      </c>
      <c r="C392" s="106"/>
      <c r="D392" s="107"/>
      <c r="E392" s="196"/>
      <c r="F392" s="199"/>
      <c r="G392" s="200"/>
    </row>
    <row r="393" spans="1:13" ht="12.75" x14ac:dyDescent="0.2">
      <c r="A393" s="336" t="s">
        <v>436</v>
      </c>
      <c r="B393" s="337" t="s">
        <v>59</v>
      </c>
      <c r="C393" s="338"/>
      <c r="D393" s="339"/>
      <c r="E393" s="206"/>
      <c r="F393" s="199"/>
      <c r="G393" s="200"/>
    </row>
    <row r="394" spans="1:13" ht="15.75" x14ac:dyDescent="0.2">
      <c r="A394" s="316" t="s">
        <v>135</v>
      </c>
      <c r="B394" s="108" t="s">
        <v>296</v>
      </c>
      <c r="C394" s="106" t="s">
        <v>175</v>
      </c>
      <c r="D394" s="107">
        <v>104</v>
      </c>
      <c r="E394" s="206"/>
      <c r="F394" s="199"/>
      <c r="G394" s="200"/>
      <c r="I394" s="13">
        <f>51.46*4</f>
        <v>205.84</v>
      </c>
    </row>
    <row r="395" spans="1:13" ht="15.75" x14ac:dyDescent="0.2">
      <c r="A395" s="316" t="s">
        <v>136</v>
      </c>
      <c r="B395" s="108" t="s">
        <v>326</v>
      </c>
      <c r="C395" s="106" t="s">
        <v>175</v>
      </c>
      <c r="D395" s="107">
        <v>162.60000000000002</v>
      </c>
      <c r="E395" s="206"/>
      <c r="F395" s="199"/>
      <c r="G395" s="200"/>
      <c r="I395" s="13">
        <f>32.2*1.85</f>
        <v>59.570000000000007</v>
      </c>
      <c r="J395" s="13">
        <f>8.5*1.35</f>
        <v>11.475000000000001</v>
      </c>
      <c r="K395" s="13">
        <f>1.65*0.8</f>
        <v>1.32</v>
      </c>
      <c r="L395" s="13">
        <f>1.65*1.5</f>
        <v>2.4749999999999996</v>
      </c>
      <c r="M395" s="13">
        <f>SUM(I395:L395)</f>
        <v>74.84</v>
      </c>
    </row>
    <row r="396" spans="1:13" ht="15.75" x14ac:dyDescent="0.2">
      <c r="A396" s="316" t="s">
        <v>140</v>
      </c>
      <c r="B396" s="108" t="s">
        <v>540</v>
      </c>
      <c r="C396" s="106" t="s">
        <v>175</v>
      </c>
      <c r="D396" s="107">
        <v>54.19</v>
      </c>
      <c r="E396" s="206"/>
      <c r="F396" s="199"/>
      <c r="G396" s="200"/>
      <c r="I396" s="13">
        <f>32.2*1.85</f>
        <v>59.570000000000007</v>
      </c>
      <c r="J396" s="13">
        <f>8.5*1.35</f>
        <v>11.475000000000001</v>
      </c>
      <c r="K396" s="13">
        <f>1.65*0.8</f>
        <v>1.32</v>
      </c>
      <c r="L396" s="13">
        <f>1.65*1.5</f>
        <v>2.4749999999999996</v>
      </c>
      <c r="M396" s="13">
        <f>SUM(I396:L396)</f>
        <v>74.84</v>
      </c>
    </row>
    <row r="397" spans="1:13" ht="15.75" x14ac:dyDescent="0.2">
      <c r="A397" s="316" t="s">
        <v>141</v>
      </c>
      <c r="B397" s="108" t="s">
        <v>541</v>
      </c>
      <c r="C397" s="106" t="s">
        <v>175</v>
      </c>
      <c r="D397" s="107">
        <v>54.32</v>
      </c>
      <c r="E397" s="206"/>
      <c r="F397" s="199"/>
      <c r="G397" s="200"/>
      <c r="I397" s="13">
        <f>32.2*1.85</f>
        <v>59.570000000000007</v>
      </c>
      <c r="J397" s="13">
        <f>8.5*1.35</f>
        <v>11.475000000000001</v>
      </c>
      <c r="K397" s="13">
        <f>1.65*0.8</f>
        <v>1.32</v>
      </c>
      <c r="L397" s="13">
        <f>1.65*1.5</f>
        <v>2.4749999999999996</v>
      </c>
      <c r="M397" s="13">
        <f>SUM(I397:L397)</f>
        <v>74.84</v>
      </c>
    </row>
    <row r="398" spans="1:13" ht="15.75" x14ac:dyDescent="0.2">
      <c r="A398" s="316" t="s">
        <v>142</v>
      </c>
      <c r="B398" s="108" t="s">
        <v>238</v>
      </c>
      <c r="C398" s="106" t="s">
        <v>175</v>
      </c>
      <c r="D398" s="107">
        <v>7.3</v>
      </c>
      <c r="E398" s="206"/>
      <c r="F398" s="199"/>
      <c r="G398" s="200"/>
      <c r="I398" s="38">
        <f>7.825*3.05</f>
        <v>23.866250000000001</v>
      </c>
    </row>
    <row r="399" spans="1:13" ht="15.75" x14ac:dyDescent="0.2">
      <c r="A399" s="316" t="s">
        <v>143</v>
      </c>
      <c r="B399" s="108" t="s">
        <v>325</v>
      </c>
      <c r="C399" s="106" t="s">
        <v>175</v>
      </c>
      <c r="D399" s="107">
        <v>4.3499999999999996</v>
      </c>
      <c r="E399" s="206"/>
      <c r="F399" s="199"/>
      <c r="G399" s="200"/>
      <c r="I399" s="38">
        <f>2.45*1.5</f>
        <v>3.6750000000000003</v>
      </c>
    </row>
    <row r="400" spans="1:13" ht="15.75" x14ac:dyDescent="0.2">
      <c r="A400" s="316" t="s">
        <v>144</v>
      </c>
      <c r="B400" s="108" t="s">
        <v>273</v>
      </c>
      <c r="C400" s="106" t="s">
        <v>175</v>
      </c>
      <c r="D400" s="107">
        <v>29.04</v>
      </c>
      <c r="E400" s="206"/>
      <c r="F400" s="199"/>
      <c r="G400" s="200"/>
      <c r="I400" s="23">
        <f>1.5*3</f>
        <v>4.5</v>
      </c>
    </row>
    <row r="401" spans="1:19" ht="15.75" x14ac:dyDescent="0.2">
      <c r="A401" s="316" t="s">
        <v>145</v>
      </c>
      <c r="B401" s="108" t="s">
        <v>239</v>
      </c>
      <c r="C401" s="106" t="s">
        <v>175</v>
      </c>
      <c r="D401" s="107">
        <v>20</v>
      </c>
      <c r="E401" s="206"/>
      <c r="F401" s="199"/>
      <c r="G401" s="200"/>
      <c r="I401" s="23">
        <f>4.12*3</f>
        <v>12.36</v>
      </c>
      <c r="J401" s="13">
        <f>2.15*1.5</f>
        <v>3.2249999999999996</v>
      </c>
      <c r="K401" s="23">
        <f>1.5*0.15*23</f>
        <v>5.1749999999999998</v>
      </c>
      <c r="L401" s="23">
        <f>SUM(I401:K401)</f>
        <v>20.759999999999998</v>
      </c>
    </row>
    <row r="402" spans="1:19" ht="12.75" x14ac:dyDescent="0.2">
      <c r="A402" s="336" t="s">
        <v>439</v>
      </c>
      <c r="B402" s="337" t="s">
        <v>60</v>
      </c>
      <c r="C402" s="338"/>
      <c r="D402" s="339"/>
      <c r="E402" s="206"/>
      <c r="F402" s="199"/>
      <c r="G402" s="200"/>
    </row>
    <row r="403" spans="1:19" ht="15.75" x14ac:dyDescent="0.2">
      <c r="A403" s="316" t="s">
        <v>135</v>
      </c>
      <c r="B403" s="108" t="s">
        <v>296</v>
      </c>
      <c r="C403" s="106" t="s">
        <v>175</v>
      </c>
      <c r="D403" s="107">
        <v>101.8</v>
      </c>
      <c r="E403" s="206"/>
      <c r="F403" s="199"/>
      <c r="G403" s="200"/>
      <c r="I403" s="13">
        <f>32.2*1.85</f>
        <v>59.570000000000007</v>
      </c>
      <c r="J403" s="13">
        <f>8.5*1.35</f>
        <v>11.475000000000001</v>
      </c>
      <c r="K403" s="13">
        <f>1.65*0.8</f>
        <v>1.32</v>
      </c>
      <c r="L403" s="13">
        <f>1.65*1.5</f>
        <v>2.4749999999999996</v>
      </c>
      <c r="M403" s="13">
        <f>SUM(I403:L403)</f>
        <v>74.84</v>
      </c>
    </row>
    <row r="404" spans="1:19" ht="15.75" x14ac:dyDescent="0.2">
      <c r="A404" s="316" t="s">
        <v>136</v>
      </c>
      <c r="B404" s="108" t="s">
        <v>326</v>
      </c>
      <c r="C404" s="106" t="s">
        <v>175</v>
      </c>
      <c r="D404" s="107">
        <v>271.39999999999998</v>
      </c>
      <c r="E404" s="206"/>
      <c r="F404" s="199"/>
      <c r="G404" s="200"/>
      <c r="I404" s="38">
        <f>7.825*3.05</f>
        <v>23.866250000000001</v>
      </c>
    </row>
    <row r="405" spans="1:19" ht="15.75" x14ac:dyDescent="0.2">
      <c r="A405" s="316" t="s">
        <v>140</v>
      </c>
      <c r="B405" s="108" t="s">
        <v>238</v>
      </c>
      <c r="C405" s="106" t="s">
        <v>175</v>
      </c>
      <c r="D405" s="107">
        <v>7.3</v>
      </c>
      <c r="E405" s="206"/>
      <c r="F405" s="199"/>
      <c r="G405" s="200"/>
      <c r="I405" s="38">
        <f>2.45*1.5</f>
        <v>3.6750000000000003</v>
      </c>
    </row>
    <row r="406" spans="1:19" ht="15.75" x14ac:dyDescent="0.2">
      <c r="A406" s="316" t="s">
        <v>141</v>
      </c>
      <c r="B406" s="108" t="s">
        <v>325</v>
      </c>
      <c r="C406" s="106" t="s">
        <v>175</v>
      </c>
      <c r="D406" s="107">
        <v>11.57</v>
      </c>
      <c r="E406" s="206"/>
      <c r="F406" s="199"/>
      <c r="G406" s="200"/>
      <c r="I406" s="38">
        <f>2.45*1.5</f>
        <v>3.6750000000000003</v>
      </c>
    </row>
    <row r="407" spans="1:19" ht="15.75" x14ac:dyDescent="0.2">
      <c r="A407" s="316" t="s">
        <v>142</v>
      </c>
      <c r="B407" s="108" t="s">
        <v>273</v>
      </c>
      <c r="C407" s="106" t="s">
        <v>175</v>
      </c>
      <c r="D407" s="107">
        <v>22.22</v>
      </c>
      <c r="E407" s="206"/>
      <c r="F407" s="199"/>
      <c r="G407" s="200"/>
      <c r="I407" s="23">
        <f>1.5*3</f>
        <v>4.5</v>
      </c>
    </row>
    <row r="408" spans="1:19" ht="15.75" x14ac:dyDescent="0.2">
      <c r="A408" s="316" t="s">
        <v>143</v>
      </c>
      <c r="B408" s="108" t="s">
        <v>239</v>
      </c>
      <c r="C408" s="106" t="s">
        <v>175</v>
      </c>
      <c r="D408" s="107">
        <v>20</v>
      </c>
      <c r="E408" s="206"/>
      <c r="F408" s="199"/>
      <c r="G408" s="200"/>
      <c r="I408" s="23">
        <f>4.12*3</f>
        <v>12.36</v>
      </c>
      <c r="J408" s="13">
        <f>2.15*1.5</f>
        <v>3.2249999999999996</v>
      </c>
      <c r="K408" s="23">
        <f>1.5*0.15*23</f>
        <v>5.1749999999999998</v>
      </c>
      <c r="L408" s="23">
        <f>SUM(I408:K408)</f>
        <v>20.759999999999998</v>
      </c>
    </row>
    <row r="409" spans="1:19" ht="12" customHeight="1" x14ac:dyDescent="0.2">
      <c r="A409" s="316"/>
      <c r="B409" s="108"/>
      <c r="C409" s="106"/>
      <c r="D409" s="107"/>
      <c r="E409" s="206"/>
      <c r="F409" s="199"/>
      <c r="G409" s="200"/>
    </row>
    <row r="410" spans="1:19" ht="12" customHeight="1" x14ac:dyDescent="0.2">
      <c r="A410" s="316"/>
      <c r="B410" s="108"/>
      <c r="C410" s="106"/>
      <c r="D410" s="107"/>
      <c r="E410" s="206"/>
      <c r="F410" s="199"/>
      <c r="G410" s="200"/>
    </row>
    <row r="411" spans="1:19" s="242" customFormat="1" ht="12" customHeight="1" x14ac:dyDescent="0.2">
      <c r="A411" s="336" t="s">
        <v>437</v>
      </c>
      <c r="B411" s="252" t="s">
        <v>123</v>
      </c>
      <c r="C411" s="248"/>
      <c r="D411" s="219"/>
      <c r="E411" s="196"/>
      <c r="F411" s="199"/>
      <c r="G411" s="200"/>
    </row>
    <row r="412" spans="1:19" ht="36" x14ac:dyDescent="0.2">
      <c r="A412" s="129"/>
      <c r="B412" s="89" t="s">
        <v>191</v>
      </c>
      <c r="C412" s="89"/>
      <c r="D412" s="89"/>
      <c r="E412" s="223"/>
      <c r="F412" s="223"/>
      <c r="G412" s="224"/>
    </row>
    <row r="413" spans="1:19" ht="24" x14ac:dyDescent="0.2">
      <c r="A413" s="130"/>
      <c r="B413" s="89" t="s">
        <v>192</v>
      </c>
      <c r="C413" s="89"/>
      <c r="D413" s="89"/>
      <c r="E413" s="223"/>
      <c r="F413" s="223"/>
      <c r="G413" s="224"/>
    </row>
    <row r="414" spans="1:19" ht="24" x14ac:dyDescent="0.2">
      <c r="A414" s="308"/>
      <c r="B414" s="223" t="s">
        <v>299</v>
      </c>
      <c r="C414" s="223"/>
      <c r="D414" s="223"/>
      <c r="E414" s="223"/>
      <c r="F414" s="223"/>
      <c r="G414" s="224"/>
    </row>
    <row r="415" spans="1:19" s="39" customFormat="1" ht="15" customHeight="1" x14ac:dyDescent="0.2">
      <c r="A415" s="336" t="s">
        <v>440</v>
      </c>
      <c r="B415" s="337" t="s">
        <v>59</v>
      </c>
      <c r="C415" s="338"/>
      <c r="D415" s="339"/>
      <c r="E415" s="196"/>
      <c r="F415" s="199"/>
      <c r="G415" s="200"/>
      <c r="H415" s="13"/>
      <c r="I415" s="13"/>
      <c r="J415" s="13"/>
      <c r="K415" s="13"/>
      <c r="L415" s="13"/>
      <c r="M415" s="13"/>
      <c r="N415" s="13"/>
      <c r="O415" s="13"/>
      <c r="P415" s="13"/>
      <c r="Q415" s="13"/>
      <c r="R415" s="13"/>
      <c r="S415" s="13"/>
    </row>
    <row r="416" spans="1:19" ht="12.75" x14ac:dyDescent="0.2">
      <c r="A416" s="316" t="s">
        <v>193</v>
      </c>
      <c r="B416" s="109" t="s">
        <v>189</v>
      </c>
      <c r="C416" s="106"/>
      <c r="D416" s="107"/>
      <c r="E416" s="206"/>
      <c r="F416" s="199"/>
      <c r="G416" s="200"/>
      <c r="I416" s="45"/>
      <c r="J416" s="19"/>
      <c r="K416" s="17"/>
    </row>
    <row r="417" spans="1:18" ht="12" customHeight="1" x14ac:dyDescent="0.2">
      <c r="A417" s="316" t="s">
        <v>135</v>
      </c>
      <c r="B417" s="108" t="str">
        <f t="shared" ref="B417:B424" si="7">B394</f>
        <v xml:space="preserve">Corridor </v>
      </c>
      <c r="C417" s="106" t="s">
        <v>175</v>
      </c>
      <c r="D417" s="107">
        <v>104</v>
      </c>
      <c r="E417" s="206"/>
      <c r="F417" s="199"/>
      <c r="G417" s="200"/>
      <c r="I417" s="45"/>
      <c r="J417" s="19"/>
      <c r="K417" s="17"/>
    </row>
    <row r="418" spans="1:18" ht="12" customHeight="1" x14ac:dyDescent="0.2">
      <c r="A418" s="316" t="s">
        <v>136</v>
      </c>
      <c r="B418" s="108" t="str">
        <f t="shared" si="7"/>
        <v>Classroom</v>
      </c>
      <c r="C418" s="106" t="s">
        <v>175</v>
      </c>
      <c r="D418" s="107">
        <v>162.60000000000002</v>
      </c>
      <c r="E418" s="206"/>
      <c r="F418" s="199"/>
      <c r="G418" s="200"/>
      <c r="I418" s="45"/>
      <c r="J418" s="19"/>
      <c r="K418" s="17"/>
    </row>
    <row r="419" spans="1:18" ht="12" customHeight="1" x14ac:dyDescent="0.2">
      <c r="A419" s="316" t="s">
        <v>140</v>
      </c>
      <c r="B419" s="108" t="str">
        <f t="shared" si="7"/>
        <v>AV Room</v>
      </c>
      <c r="C419" s="106" t="s">
        <v>175</v>
      </c>
      <c r="D419" s="107">
        <v>54.19</v>
      </c>
      <c r="E419" s="206"/>
      <c r="F419" s="199"/>
      <c r="G419" s="200"/>
      <c r="I419" s="45"/>
      <c r="J419" s="19"/>
      <c r="K419" s="17"/>
    </row>
    <row r="420" spans="1:18" ht="12" customHeight="1" x14ac:dyDescent="0.2">
      <c r="A420" s="316" t="s">
        <v>141</v>
      </c>
      <c r="B420" s="108" t="str">
        <f t="shared" si="7"/>
        <v>Science Lab</v>
      </c>
      <c r="C420" s="106" t="s">
        <v>175</v>
      </c>
      <c r="D420" s="107">
        <v>54.32</v>
      </c>
      <c r="E420" s="206"/>
      <c r="F420" s="199"/>
      <c r="G420" s="200"/>
      <c r="I420" s="45"/>
      <c r="J420" s="19"/>
      <c r="K420" s="17"/>
    </row>
    <row r="421" spans="1:18" ht="12" customHeight="1" x14ac:dyDescent="0.2">
      <c r="A421" s="316" t="s">
        <v>142</v>
      </c>
      <c r="B421" s="108" t="str">
        <f t="shared" si="7"/>
        <v>Store</v>
      </c>
      <c r="C421" s="106" t="s">
        <v>175</v>
      </c>
      <c r="D421" s="107">
        <v>7.3</v>
      </c>
      <c r="E421" s="206"/>
      <c r="F421" s="199"/>
      <c r="G421" s="200"/>
      <c r="I421" s="45"/>
      <c r="J421" s="19"/>
      <c r="K421" s="17"/>
    </row>
    <row r="422" spans="1:18" ht="12" customHeight="1" x14ac:dyDescent="0.2">
      <c r="A422" s="316" t="s">
        <v>143</v>
      </c>
      <c r="B422" s="108" t="str">
        <f t="shared" si="7"/>
        <v>Cleaner closet</v>
      </c>
      <c r="C422" s="106" t="s">
        <v>175</v>
      </c>
      <c r="D422" s="107">
        <v>4.3499999999999996</v>
      </c>
      <c r="E422" s="206"/>
      <c r="F422" s="199"/>
      <c r="G422" s="200"/>
      <c r="I422" s="45"/>
      <c r="J422" s="19"/>
      <c r="K422" s="17"/>
    </row>
    <row r="423" spans="1:18" ht="12" customHeight="1" x14ac:dyDescent="0.2">
      <c r="A423" s="316" t="s">
        <v>144</v>
      </c>
      <c r="B423" s="108" t="str">
        <f t="shared" si="7"/>
        <v xml:space="preserve">Toilet </v>
      </c>
      <c r="C423" s="106" t="s">
        <v>175</v>
      </c>
      <c r="D423" s="107">
        <v>29.04</v>
      </c>
      <c r="E423" s="206"/>
      <c r="F423" s="199"/>
      <c r="G423" s="200"/>
    </row>
    <row r="424" spans="1:18" ht="12" customHeight="1" x14ac:dyDescent="0.2">
      <c r="A424" s="316" t="s">
        <v>145</v>
      </c>
      <c r="B424" s="108" t="str">
        <f t="shared" si="7"/>
        <v>Staircase</v>
      </c>
      <c r="C424" s="106" t="s">
        <v>175</v>
      </c>
      <c r="D424" s="107">
        <v>20</v>
      </c>
      <c r="E424" s="206"/>
      <c r="F424" s="199"/>
      <c r="G424" s="200"/>
    </row>
    <row r="425" spans="1:18" ht="12.75" x14ac:dyDescent="0.2">
      <c r="A425" s="316" t="s">
        <v>194</v>
      </c>
      <c r="B425" s="109" t="s">
        <v>190</v>
      </c>
      <c r="C425" s="106"/>
      <c r="D425" s="107"/>
      <c r="E425" s="206"/>
      <c r="F425" s="199"/>
      <c r="G425" s="200"/>
      <c r="I425" s="45"/>
      <c r="J425" s="19"/>
      <c r="K425" s="17"/>
      <c r="L425" s="28"/>
      <c r="M425" s="21"/>
      <c r="N425" s="21"/>
      <c r="O425" s="21"/>
      <c r="P425" s="22"/>
    </row>
    <row r="426" spans="1:18" ht="15.75" x14ac:dyDescent="0.2">
      <c r="A426" s="316"/>
      <c r="B426" s="108" t="s">
        <v>442</v>
      </c>
      <c r="C426" s="106" t="s">
        <v>175</v>
      </c>
      <c r="D426" s="107">
        <v>141.98799999999997</v>
      </c>
      <c r="E426" s="206"/>
      <c r="F426" s="199"/>
      <c r="G426" s="200"/>
      <c r="I426" s="23">
        <f>1.5*6+1*6</f>
        <v>15</v>
      </c>
      <c r="J426" s="38">
        <f>I426*3</f>
        <v>45</v>
      </c>
      <c r="K426" s="38">
        <f>0.6*2*3</f>
        <v>3.5999999999999996</v>
      </c>
      <c r="L426" s="38">
        <f>J426-K426</f>
        <v>41.4</v>
      </c>
      <c r="P426" s="38"/>
    </row>
    <row r="427" spans="1:18" ht="12.75" x14ac:dyDescent="0.2">
      <c r="A427" s="316"/>
      <c r="B427" s="108"/>
      <c r="C427" s="106"/>
      <c r="D427" s="107"/>
      <c r="E427" s="206"/>
      <c r="F427" s="199"/>
      <c r="G427" s="200"/>
      <c r="I427" s="23">
        <f>1.5+1.65*2</f>
        <v>4.8</v>
      </c>
      <c r="J427" s="38">
        <f>I427*1.8</f>
        <v>8.64</v>
      </c>
      <c r="K427" s="38"/>
      <c r="L427" s="38"/>
      <c r="M427" s="38"/>
      <c r="N427" s="38"/>
      <c r="O427" s="38"/>
      <c r="P427" s="38"/>
      <c r="Q427" s="38"/>
      <c r="R427" s="38"/>
    </row>
    <row r="428" spans="1:18" ht="12.75" x14ac:dyDescent="0.2">
      <c r="A428" s="336" t="s">
        <v>441</v>
      </c>
      <c r="B428" s="337" t="s">
        <v>60</v>
      </c>
      <c r="C428" s="338"/>
      <c r="D428" s="339"/>
      <c r="E428" s="196"/>
      <c r="F428" s="199"/>
      <c r="G428" s="200"/>
    </row>
    <row r="429" spans="1:18" ht="12" customHeight="1" x14ac:dyDescent="0.2">
      <c r="A429" s="316" t="s">
        <v>193</v>
      </c>
      <c r="B429" s="109" t="s">
        <v>189</v>
      </c>
      <c r="C429" s="106"/>
      <c r="D429" s="107"/>
      <c r="E429" s="206"/>
      <c r="F429" s="199"/>
      <c r="G429" s="200"/>
    </row>
    <row r="430" spans="1:18" ht="12" customHeight="1" x14ac:dyDescent="0.2">
      <c r="A430" s="316" t="s">
        <v>135</v>
      </c>
      <c r="B430" s="108" t="str">
        <f t="shared" ref="B430:B435" si="8">B403</f>
        <v xml:space="preserve">Corridor </v>
      </c>
      <c r="C430" s="106" t="s">
        <v>175</v>
      </c>
      <c r="D430" s="107">
        <v>101.8</v>
      </c>
      <c r="E430" s="206"/>
      <c r="F430" s="199"/>
      <c r="G430" s="200"/>
      <c r="I430" s="45"/>
      <c r="J430" s="19"/>
      <c r="K430" s="17"/>
    </row>
    <row r="431" spans="1:18" ht="12" customHeight="1" x14ac:dyDescent="0.2">
      <c r="A431" s="316" t="s">
        <v>136</v>
      </c>
      <c r="B431" s="108" t="str">
        <f t="shared" si="8"/>
        <v>Classroom</v>
      </c>
      <c r="C431" s="106" t="s">
        <v>175</v>
      </c>
      <c r="D431" s="107">
        <v>271.39999999999998</v>
      </c>
      <c r="E431" s="206"/>
      <c r="F431" s="199"/>
      <c r="G431" s="200"/>
      <c r="I431" s="45"/>
      <c r="J431" s="19"/>
      <c r="K431" s="17"/>
    </row>
    <row r="432" spans="1:18" ht="12" customHeight="1" x14ac:dyDescent="0.2">
      <c r="A432" s="316" t="s">
        <v>140</v>
      </c>
      <c r="B432" s="108" t="str">
        <f t="shared" si="8"/>
        <v>Store</v>
      </c>
      <c r="C432" s="106" t="s">
        <v>175</v>
      </c>
      <c r="D432" s="107">
        <v>7.3</v>
      </c>
      <c r="E432" s="206"/>
      <c r="F432" s="199"/>
      <c r="G432" s="200"/>
      <c r="I432" s="45"/>
      <c r="J432" s="19"/>
      <c r="K432" s="17"/>
    </row>
    <row r="433" spans="1:16" ht="12" customHeight="1" x14ac:dyDescent="0.2">
      <c r="A433" s="316" t="s">
        <v>141</v>
      </c>
      <c r="B433" s="108" t="str">
        <f t="shared" si="8"/>
        <v>Cleaner closet</v>
      </c>
      <c r="C433" s="106" t="s">
        <v>175</v>
      </c>
      <c r="D433" s="107">
        <v>11.57</v>
      </c>
      <c r="E433" s="206"/>
      <c r="F433" s="199"/>
      <c r="G433" s="200"/>
      <c r="I433" s="45"/>
      <c r="J433" s="19"/>
      <c r="K433" s="17"/>
    </row>
    <row r="434" spans="1:16" ht="12" customHeight="1" x14ac:dyDescent="0.2">
      <c r="A434" s="316" t="s">
        <v>142</v>
      </c>
      <c r="B434" s="108" t="str">
        <f t="shared" si="8"/>
        <v xml:space="preserve">Toilet </v>
      </c>
      <c r="C434" s="106" t="s">
        <v>175</v>
      </c>
      <c r="D434" s="107">
        <v>22.22</v>
      </c>
      <c r="E434" s="206"/>
      <c r="F434" s="199"/>
      <c r="G434" s="200"/>
      <c r="I434" s="45"/>
      <c r="J434" s="19"/>
      <c r="K434" s="17"/>
    </row>
    <row r="435" spans="1:16" ht="12" customHeight="1" x14ac:dyDescent="0.2">
      <c r="A435" s="316" t="s">
        <v>143</v>
      </c>
      <c r="B435" s="108" t="str">
        <f t="shared" si="8"/>
        <v>Staircase</v>
      </c>
      <c r="C435" s="106" t="s">
        <v>175</v>
      </c>
      <c r="D435" s="107">
        <v>20</v>
      </c>
      <c r="E435" s="206"/>
      <c r="F435" s="199"/>
      <c r="G435" s="200"/>
      <c r="I435" s="45"/>
      <c r="J435" s="19"/>
      <c r="K435" s="17"/>
    </row>
    <row r="436" spans="1:16" ht="12.75" x14ac:dyDescent="0.2">
      <c r="A436" s="316" t="s">
        <v>194</v>
      </c>
      <c r="B436" s="109" t="s">
        <v>190</v>
      </c>
      <c r="C436" s="106"/>
      <c r="D436" s="107"/>
      <c r="E436" s="206"/>
      <c r="F436" s="199"/>
      <c r="G436" s="200"/>
      <c r="I436" s="45"/>
      <c r="J436" s="19"/>
      <c r="K436" s="17"/>
      <c r="L436" s="28"/>
      <c r="M436" s="21"/>
      <c r="N436" s="21"/>
      <c r="O436" s="21"/>
      <c r="P436" s="22"/>
    </row>
    <row r="437" spans="1:16" ht="15.75" x14ac:dyDescent="0.2">
      <c r="A437" s="316"/>
      <c r="B437" s="108" t="s">
        <v>442</v>
      </c>
      <c r="C437" s="106" t="s">
        <v>175</v>
      </c>
      <c r="D437" s="107">
        <v>115.38800000000001</v>
      </c>
      <c r="E437" s="206"/>
      <c r="F437" s="199"/>
      <c r="G437" s="200"/>
      <c r="I437" s="23">
        <f>1.5*6+1*6</f>
        <v>15</v>
      </c>
      <c r="J437" s="38">
        <f>I437*3</f>
        <v>45</v>
      </c>
      <c r="K437" s="38">
        <f>0.6*2*3</f>
        <v>3.5999999999999996</v>
      </c>
      <c r="L437" s="38">
        <f>J437-K437</f>
        <v>41.4</v>
      </c>
      <c r="P437" s="38"/>
    </row>
    <row r="438" spans="1:16" ht="12.75" x14ac:dyDescent="0.2">
      <c r="A438" s="316"/>
      <c r="B438" s="109"/>
      <c r="C438" s="106"/>
      <c r="D438" s="107"/>
      <c r="E438" s="206"/>
      <c r="F438" s="199"/>
      <c r="G438" s="200"/>
    </row>
    <row r="439" spans="1:16" ht="12.75" x14ac:dyDescent="0.2">
      <c r="A439" s="316"/>
      <c r="B439" s="108"/>
      <c r="C439" s="106"/>
      <c r="D439" s="107"/>
      <c r="E439" s="206"/>
      <c r="F439" s="199"/>
      <c r="G439" s="200"/>
    </row>
    <row r="440" spans="1:16" s="242" customFormat="1" ht="12.75" x14ac:dyDescent="0.2">
      <c r="A440" s="336" t="s">
        <v>438</v>
      </c>
      <c r="B440" s="252" t="s">
        <v>168</v>
      </c>
      <c r="C440" s="248"/>
      <c r="D440" s="219"/>
      <c r="E440" s="196"/>
      <c r="F440" s="199"/>
      <c r="G440" s="200"/>
    </row>
    <row r="441" spans="1:16" ht="24" x14ac:dyDescent="0.2">
      <c r="A441" s="323"/>
      <c r="B441" s="110" t="s">
        <v>444</v>
      </c>
      <c r="C441" s="111"/>
      <c r="D441" s="52"/>
      <c r="E441" s="206"/>
      <c r="F441" s="199"/>
      <c r="G441" s="200"/>
    </row>
    <row r="442" spans="1:16" ht="15.75" x14ac:dyDescent="0.2">
      <c r="A442" s="323" t="s">
        <v>135</v>
      </c>
      <c r="B442" s="110" t="s">
        <v>265</v>
      </c>
      <c r="C442" s="106" t="s">
        <v>175</v>
      </c>
      <c r="D442" s="52">
        <v>42.22</v>
      </c>
      <c r="E442" s="206"/>
      <c r="F442" s="199"/>
      <c r="G442" s="200"/>
      <c r="I442" s="38">
        <f>D442/2.5</f>
        <v>16.887999999999998</v>
      </c>
      <c r="J442" s="38">
        <f>I442*800</f>
        <v>13510.399999999998</v>
      </c>
      <c r="K442" s="38">
        <f>J442/D442</f>
        <v>319.99999999999994</v>
      </c>
    </row>
    <row r="443" spans="1:16" ht="15.75" x14ac:dyDescent="0.2">
      <c r="A443" s="323" t="s">
        <v>136</v>
      </c>
      <c r="B443" s="110" t="s">
        <v>237</v>
      </c>
      <c r="C443" s="106" t="s">
        <v>175</v>
      </c>
      <c r="D443" s="52">
        <v>205.8</v>
      </c>
      <c r="E443" s="206"/>
      <c r="F443" s="199"/>
      <c r="G443" s="200"/>
      <c r="I443" s="23"/>
      <c r="L443" s="23"/>
    </row>
    <row r="444" spans="1:16" x14ac:dyDescent="0.2">
      <c r="A444" s="323"/>
      <c r="B444" s="110"/>
      <c r="C444" s="94"/>
      <c r="D444" s="52"/>
      <c r="E444" s="206"/>
      <c r="F444" s="199"/>
      <c r="G444" s="200"/>
    </row>
    <row r="445" spans="1:16" s="242" customFormat="1" ht="12.75" x14ac:dyDescent="0.2">
      <c r="A445" s="336" t="s">
        <v>443</v>
      </c>
      <c r="B445" s="252" t="s">
        <v>176</v>
      </c>
      <c r="C445" s="248"/>
      <c r="D445" s="219"/>
      <c r="E445" s="196"/>
      <c r="F445" s="199"/>
      <c r="G445" s="200"/>
    </row>
    <row r="446" spans="1:16" ht="24" x14ac:dyDescent="0.2">
      <c r="A446" s="317" t="s">
        <v>135</v>
      </c>
      <c r="B446" s="110" t="s">
        <v>300</v>
      </c>
      <c r="C446" s="106" t="s">
        <v>175</v>
      </c>
      <c r="D446" s="52">
        <v>870.09</v>
      </c>
      <c r="E446" s="206"/>
      <c r="F446" s="199"/>
      <c r="G446" s="200"/>
      <c r="J446" s="38"/>
      <c r="K446" s="38"/>
      <c r="L446" s="38"/>
      <c r="M446" s="38"/>
    </row>
    <row r="447" spans="1:16" x14ac:dyDescent="0.2">
      <c r="A447" s="323"/>
      <c r="B447" s="110"/>
      <c r="C447" s="94"/>
      <c r="D447" s="52"/>
      <c r="E447" s="206"/>
      <c r="F447" s="199"/>
      <c r="G447" s="200"/>
    </row>
    <row r="448" spans="1:16" ht="12" customHeight="1" x14ac:dyDescent="0.2">
      <c r="A448" s="323"/>
      <c r="B448" s="110"/>
      <c r="C448" s="94"/>
      <c r="D448" s="52"/>
      <c r="E448" s="206"/>
      <c r="F448" s="199"/>
      <c r="G448" s="200"/>
    </row>
    <row r="449" spans="1:7" ht="12" customHeight="1" x14ac:dyDescent="0.2">
      <c r="A449" s="323"/>
      <c r="B449" s="110"/>
      <c r="C449" s="94"/>
      <c r="D449" s="52"/>
      <c r="E449" s="206"/>
      <c r="F449" s="199"/>
      <c r="G449" s="200"/>
    </row>
    <row r="450" spans="1:7" ht="12" customHeight="1" x14ac:dyDescent="0.2">
      <c r="A450" s="323"/>
      <c r="B450" s="110"/>
      <c r="C450" s="94"/>
      <c r="D450" s="52"/>
      <c r="E450" s="206"/>
      <c r="F450" s="199"/>
      <c r="G450" s="200"/>
    </row>
    <row r="451" spans="1:7" ht="12" customHeight="1" thickBot="1" x14ac:dyDescent="0.25">
      <c r="A451" s="323"/>
      <c r="B451" s="110"/>
      <c r="C451" s="94"/>
      <c r="D451" s="52"/>
      <c r="E451" s="206"/>
      <c r="F451" s="199"/>
      <c r="G451" s="200"/>
    </row>
    <row r="452" spans="1:7" ht="12" customHeight="1" x14ac:dyDescent="0.2">
      <c r="A452" s="303"/>
      <c r="B452" s="160" t="s">
        <v>124</v>
      </c>
      <c r="C452" s="166"/>
      <c r="D452" s="162"/>
      <c r="E452" s="265"/>
      <c r="F452" s="266"/>
      <c r="G452" s="267"/>
    </row>
    <row r="453" spans="1:7" ht="12" customHeight="1" thickBot="1" x14ac:dyDescent="0.25">
      <c r="A453" s="304"/>
      <c r="B453" s="163" t="s">
        <v>125</v>
      </c>
      <c r="C453" s="167"/>
      <c r="D453" s="165"/>
      <c r="E453" s="262"/>
      <c r="F453" s="268"/>
      <c r="G453" s="269"/>
    </row>
    <row r="454" spans="1:7" x14ac:dyDescent="0.2">
      <c r="A454" s="318"/>
      <c r="B454" s="170"/>
      <c r="C454" s="110"/>
      <c r="D454" s="110"/>
      <c r="E454" s="206"/>
      <c r="F454" s="199"/>
      <c r="G454" s="200"/>
    </row>
    <row r="455" spans="1:7" x14ac:dyDescent="0.2">
      <c r="A455" s="318"/>
      <c r="B455" s="290" t="s">
        <v>153</v>
      </c>
      <c r="C455" s="110"/>
      <c r="D455" s="110"/>
      <c r="E455" s="206"/>
      <c r="F455" s="199"/>
      <c r="G455" s="200"/>
    </row>
    <row r="456" spans="1:7" x14ac:dyDescent="0.2">
      <c r="A456" s="318"/>
      <c r="B456" s="118" t="s">
        <v>97</v>
      </c>
      <c r="C456" s="110"/>
      <c r="D456" s="110"/>
      <c r="E456" s="206"/>
      <c r="F456" s="199"/>
      <c r="G456" s="200"/>
    </row>
    <row r="457" spans="1:7" x14ac:dyDescent="0.2">
      <c r="A457" s="318" t="s">
        <v>446</v>
      </c>
      <c r="B457" s="119" t="s">
        <v>36</v>
      </c>
      <c r="C457" s="110"/>
      <c r="D457" s="110"/>
      <c r="E457" s="206"/>
      <c r="F457" s="199"/>
      <c r="G457" s="200"/>
    </row>
    <row r="458" spans="1:7" ht="36" x14ac:dyDescent="0.2">
      <c r="A458" s="318"/>
      <c r="B458" s="110" t="s">
        <v>216</v>
      </c>
      <c r="C458" s="110"/>
      <c r="D458" s="110"/>
      <c r="E458" s="206"/>
      <c r="F458" s="199"/>
      <c r="G458" s="200"/>
    </row>
    <row r="459" spans="1:7" ht="48" x14ac:dyDescent="0.2">
      <c r="A459" s="318"/>
      <c r="B459" s="110" t="s">
        <v>215</v>
      </c>
      <c r="C459" s="110"/>
      <c r="D459" s="110"/>
      <c r="E459" s="206"/>
      <c r="F459" s="199"/>
      <c r="G459" s="200"/>
    </row>
    <row r="460" spans="1:7" ht="30.75" customHeight="1" x14ac:dyDescent="0.2">
      <c r="A460" s="318"/>
      <c r="B460" s="110" t="s">
        <v>274</v>
      </c>
      <c r="C460" s="110"/>
      <c r="D460" s="110"/>
      <c r="E460" s="206"/>
      <c r="F460" s="199"/>
      <c r="G460" s="200"/>
    </row>
    <row r="461" spans="1:7" ht="27" customHeight="1" x14ac:dyDescent="0.2">
      <c r="A461" s="318"/>
      <c r="B461" s="110" t="s">
        <v>214</v>
      </c>
      <c r="C461" s="110"/>
      <c r="D461" s="110"/>
      <c r="E461" s="206"/>
      <c r="F461" s="199"/>
      <c r="G461" s="200"/>
    </row>
    <row r="462" spans="1:7" ht="24" x14ac:dyDescent="0.2">
      <c r="A462" s="129"/>
      <c r="B462" s="110" t="s">
        <v>173</v>
      </c>
      <c r="C462" s="110"/>
      <c r="D462" s="110"/>
      <c r="E462" s="206"/>
      <c r="F462" s="199"/>
      <c r="G462" s="200"/>
    </row>
    <row r="463" spans="1:7" ht="14.25" customHeight="1" x14ac:dyDescent="0.2">
      <c r="A463" s="318"/>
      <c r="B463" s="110"/>
      <c r="C463" s="110"/>
      <c r="D463" s="110"/>
      <c r="E463" s="206"/>
      <c r="F463" s="199"/>
      <c r="G463" s="200"/>
    </row>
    <row r="464" spans="1:7" x14ac:dyDescent="0.2">
      <c r="A464" s="307" t="s">
        <v>447</v>
      </c>
      <c r="B464" s="247" t="s">
        <v>98</v>
      </c>
      <c r="C464" s="248"/>
      <c r="D464" s="219"/>
      <c r="E464" s="206"/>
      <c r="F464" s="199"/>
      <c r="G464" s="200"/>
    </row>
    <row r="465" spans="1:19" s="242" customFormat="1" x14ac:dyDescent="0.2">
      <c r="A465" s="307"/>
      <c r="B465" s="247" t="s">
        <v>249</v>
      </c>
      <c r="C465" s="248"/>
      <c r="D465" s="219"/>
      <c r="E465" s="196"/>
      <c r="F465" s="199"/>
      <c r="G465" s="200"/>
    </row>
    <row r="466" spans="1:19" x14ac:dyDescent="0.2">
      <c r="A466" s="302"/>
      <c r="B466" s="288" t="s">
        <v>334</v>
      </c>
      <c r="C466" s="102"/>
      <c r="D466" s="52"/>
      <c r="E466" s="196"/>
      <c r="F466" s="208"/>
      <c r="G466" s="209"/>
      <c r="H466" s="39"/>
      <c r="I466" s="46">
        <f>0.95*2.83</f>
        <v>2.6884999999999999</v>
      </c>
      <c r="J466" s="44">
        <f>I466*D466</f>
        <v>0</v>
      </c>
      <c r="K466" s="46">
        <f>J466+J472+J474+J475</f>
        <v>42.945</v>
      </c>
      <c r="L466" s="39"/>
      <c r="M466" s="39"/>
      <c r="N466" s="39"/>
      <c r="O466" s="39"/>
      <c r="P466" s="39"/>
      <c r="Q466" s="39"/>
      <c r="R466" s="39"/>
      <c r="S466" s="39"/>
    </row>
    <row r="467" spans="1:19" x14ac:dyDescent="0.2">
      <c r="A467" s="302" t="s">
        <v>135</v>
      </c>
      <c r="B467" s="101" t="s">
        <v>327</v>
      </c>
      <c r="C467" s="102" t="s">
        <v>99</v>
      </c>
      <c r="D467" s="52">
        <v>10</v>
      </c>
      <c r="E467" s="196"/>
      <c r="F467" s="208"/>
      <c r="G467" s="209"/>
      <c r="H467" s="39"/>
      <c r="I467" s="46">
        <f>0.95*2.15</f>
        <v>2.0425</v>
      </c>
      <c r="J467" s="44">
        <f>I467*D467</f>
        <v>20.425000000000001</v>
      </c>
      <c r="K467" s="46"/>
      <c r="L467" s="39"/>
      <c r="M467" s="39"/>
      <c r="N467" s="39"/>
      <c r="O467" s="39"/>
      <c r="P467" s="39"/>
      <c r="Q467" s="39"/>
      <c r="R467" s="39"/>
      <c r="S467" s="39"/>
    </row>
    <row r="468" spans="1:19" x14ac:dyDescent="0.2">
      <c r="A468" s="302" t="s">
        <v>136</v>
      </c>
      <c r="B468" s="342" t="s">
        <v>328</v>
      </c>
      <c r="C468" s="102" t="s">
        <v>99</v>
      </c>
      <c r="D468" s="52">
        <v>2</v>
      </c>
      <c r="E468" s="196"/>
      <c r="F468" s="208"/>
      <c r="G468" s="209"/>
      <c r="H468" s="39"/>
      <c r="I468" s="44">
        <f>0.78*2</f>
        <v>1.56</v>
      </c>
      <c r="J468" s="44">
        <f>I468*D468</f>
        <v>3.12</v>
      </c>
      <c r="K468" s="46"/>
      <c r="L468" s="39"/>
      <c r="M468" s="39"/>
      <c r="N468" s="39"/>
      <c r="O468" s="39"/>
      <c r="P468" s="39"/>
      <c r="Q468" s="39"/>
      <c r="R468" s="39"/>
      <c r="S468" s="39"/>
    </row>
    <row r="469" spans="1:19" x14ac:dyDescent="0.2">
      <c r="A469" s="302" t="s">
        <v>140</v>
      </c>
      <c r="B469" s="342" t="s">
        <v>329</v>
      </c>
      <c r="C469" s="102" t="s">
        <v>99</v>
      </c>
      <c r="D469" s="52">
        <v>2</v>
      </c>
      <c r="E469" s="196"/>
      <c r="F469" s="199"/>
      <c r="G469" s="200"/>
      <c r="I469" s="23"/>
      <c r="J469" s="44"/>
      <c r="K469" s="38"/>
      <c r="L469" s="38">
        <f>J468+I467</f>
        <v>5.1624999999999996</v>
      </c>
    </row>
    <row r="470" spans="1:19" x14ac:dyDescent="0.2">
      <c r="A470" s="302" t="s">
        <v>141</v>
      </c>
      <c r="B470" s="342" t="s">
        <v>445</v>
      </c>
      <c r="C470" s="102" t="s">
        <v>99</v>
      </c>
      <c r="D470" s="52">
        <v>2</v>
      </c>
      <c r="E470" s="196"/>
      <c r="F470" s="199"/>
      <c r="G470" s="200"/>
      <c r="I470" s="23"/>
      <c r="J470" s="44"/>
      <c r="K470" s="38"/>
      <c r="L470" s="38">
        <f>J469+I468</f>
        <v>1.56</v>
      </c>
    </row>
    <row r="471" spans="1:19" x14ac:dyDescent="0.2">
      <c r="A471" s="302" t="s">
        <v>142</v>
      </c>
      <c r="B471" s="342" t="s">
        <v>522</v>
      </c>
      <c r="C471" s="102" t="s">
        <v>99</v>
      </c>
      <c r="D471" s="52">
        <v>3</v>
      </c>
      <c r="E471" s="196"/>
      <c r="F471" s="208"/>
      <c r="G471" s="209"/>
      <c r="I471" s="23">
        <f>2.45*1.69</f>
        <v>4.1405000000000003</v>
      </c>
      <c r="J471" s="44">
        <f>I471*D471</f>
        <v>12.421500000000002</v>
      </c>
      <c r="K471" s="38"/>
    </row>
    <row r="472" spans="1:19" x14ac:dyDescent="0.2">
      <c r="A472" s="302" t="s">
        <v>143</v>
      </c>
      <c r="B472" s="342" t="s">
        <v>330</v>
      </c>
      <c r="C472" s="102" t="s">
        <v>99</v>
      </c>
      <c r="D472" s="52">
        <v>10</v>
      </c>
      <c r="E472" s="196"/>
      <c r="F472" s="208"/>
      <c r="G472" s="209"/>
      <c r="I472" s="23">
        <f>2.45*1.69</f>
        <v>4.1405000000000003</v>
      </c>
      <c r="J472" s="44">
        <f>I472*D472</f>
        <v>41.405000000000001</v>
      </c>
      <c r="K472" s="38"/>
    </row>
    <row r="473" spans="1:19" x14ac:dyDescent="0.2">
      <c r="A473" s="302" t="s">
        <v>144</v>
      </c>
      <c r="B473" s="101" t="s">
        <v>523</v>
      </c>
      <c r="C473" s="102" t="s">
        <v>99</v>
      </c>
      <c r="D473" s="52">
        <v>10</v>
      </c>
      <c r="E473" s="196"/>
      <c r="F473" s="208"/>
      <c r="G473" s="209"/>
      <c r="I473" s="23">
        <f>2.45*1.69</f>
        <v>4.1405000000000003</v>
      </c>
      <c r="J473" s="44">
        <f>I473*D473</f>
        <v>41.405000000000001</v>
      </c>
      <c r="K473" s="38"/>
    </row>
    <row r="474" spans="1:19" x14ac:dyDescent="0.2">
      <c r="A474" s="302"/>
      <c r="B474" s="288" t="s">
        <v>335</v>
      </c>
      <c r="C474" s="102"/>
      <c r="D474" s="52"/>
      <c r="E474" s="196"/>
      <c r="F474" s="208"/>
      <c r="G474" s="209"/>
      <c r="I474" s="23"/>
      <c r="J474" s="44"/>
      <c r="K474" s="38"/>
    </row>
    <row r="475" spans="1:19" x14ac:dyDescent="0.2">
      <c r="A475" s="302" t="s">
        <v>145</v>
      </c>
      <c r="B475" s="101" t="s">
        <v>332</v>
      </c>
      <c r="C475" s="102" t="s">
        <v>99</v>
      </c>
      <c r="D475" s="52">
        <v>4</v>
      </c>
      <c r="E475" s="196"/>
      <c r="F475" s="208"/>
      <c r="G475" s="209"/>
      <c r="I475" s="23">
        <f>0.7*0.55</f>
        <v>0.38500000000000001</v>
      </c>
      <c r="J475" s="44">
        <f>I475*D475</f>
        <v>1.54</v>
      </c>
      <c r="K475" s="38"/>
    </row>
    <row r="476" spans="1:19" x14ac:dyDescent="0.2">
      <c r="A476" s="302" t="s">
        <v>146</v>
      </c>
      <c r="B476" s="101" t="s">
        <v>331</v>
      </c>
      <c r="C476" s="102" t="s">
        <v>99</v>
      </c>
      <c r="D476" s="52">
        <v>4</v>
      </c>
      <c r="E476" s="196"/>
      <c r="F476" s="208"/>
      <c r="G476" s="209"/>
      <c r="I476" s="23">
        <f>2.45*1.69</f>
        <v>4.1405000000000003</v>
      </c>
      <c r="J476" s="44">
        <f>I476*D476</f>
        <v>16.562000000000001</v>
      </c>
      <c r="K476" s="38"/>
    </row>
    <row r="477" spans="1:19" x14ac:dyDescent="0.2">
      <c r="A477" s="302" t="s">
        <v>411</v>
      </c>
      <c r="B477" s="101" t="s">
        <v>333</v>
      </c>
      <c r="C477" s="102" t="s">
        <v>99</v>
      </c>
      <c r="D477" s="52">
        <v>1</v>
      </c>
      <c r="E477" s="196"/>
      <c r="F477" s="208"/>
      <c r="G477" s="209"/>
      <c r="I477" s="23">
        <f>1.575*2</f>
        <v>3.15</v>
      </c>
      <c r="J477" s="44">
        <f>I477*D477</f>
        <v>3.15</v>
      </c>
      <c r="K477" s="38"/>
    </row>
    <row r="478" spans="1:19" x14ac:dyDescent="0.2">
      <c r="A478" s="307" t="s">
        <v>448</v>
      </c>
      <c r="B478" s="247" t="s">
        <v>60</v>
      </c>
      <c r="C478" s="248"/>
      <c r="D478" s="219"/>
      <c r="E478" s="196"/>
      <c r="F478" s="199"/>
      <c r="G478" s="200"/>
      <c r="J478" s="23"/>
      <c r="K478" s="23"/>
    </row>
    <row r="479" spans="1:19" s="242" customFormat="1" x14ac:dyDescent="0.2">
      <c r="A479" s="307"/>
      <c r="B479" s="247" t="s">
        <v>249</v>
      </c>
      <c r="C479" s="248"/>
      <c r="D479" s="219"/>
      <c r="E479" s="196"/>
      <c r="F479" s="199"/>
      <c r="G479" s="200"/>
      <c r="K479" s="251"/>
    </row>
    <row r="480" spans="1:19" x14ac:dyDescent="0.2">
      <c r="A480" s="302"/>
      <c r="B480" s="288" t="s">
        <v>334</v>
      </c>
      <c r="C480" s="102"/>
      <c r="D480" s="52"/>
      <c r="E480" s="196"/>
      <c r="F480" s="208"/>
      <c r="G480" s="209"/>
      <c r="H480" s="39"/>
      <c r="I480" s="46"/>
      <c r="J480" s="44"/>
      <c r="K480" s="46"/>
      <c r="L480" s="39"/>
      <c r="M480" s="39"/>
      <c r="N480" s="39"/>
      <c r="O480" s="39"/>
      <c r="P480" s="39"/>
      <c r="Q480" s="39"/>
      <c r="R480" s="39"/>
      <c r="S480" s="39"/>
    </row>
    <row r="481" spans="1:19" x14ac:dyDescent="0.2">
      <c r="A481" s="302" t="s">
        <v>135</v>
      </c>
      <c r="B481" s="101" t="s">
        <v>327</v>
      </c>
      <c r="C481" s="102" t="s">
        <v>99</v>
      </c>
      <c r="D481" s="52">
        <v>10</v>
      </c>
      <c r="E481" s="196"/>
      <c r="F481" s="208"/>
      <c r="G481" s="209"/>
      <c r="H481" s="39"/>
      <c r="I481" s="46">
        <f>0.95*2.15</f>
        <v>2.0425</v>
      </c>
      <c r="J481" s="44">
        <f>I481*D481</f>
        <v>20.425000000000001</v>
      </c>
      <c r="K481" s="46"/>
      <c r="L481" s="39"/>
      <c r="M481" s="39"/>
      <c r="N481" s="39"/>
      <c r="O481" s="39"/>
      <c r="P481" s="39"/>
      <c r="Q481" s="39"/>
      <c r="R481" s="39"/>
      <c r="S481" s="39"/>
    </row>
    <row r="482" spans="1:19" x14ac:dyDescent="0.2">
      <c r="A482" s="302" t="s">
        <v>136</v>
      </c>
      <c r="B482" s="101" t="s">
        <v>328</v>
      </c>
      <c r="C482" s="102" t="s">
        <v>99</v>
      </c>
      <c r="D482" s="52">
        <v>2</v>
      </c>
      <c r="E482" s="196"/>
      <c r="F482" s="208"/>
      <c r="G482" s="209"/>
      <c r="H482" s="39"/>
      <c r="I482" s="44">
        <f>0.78*2</f>
        <v>1.56</v>
      </c>
      <c r="J482" s="44">
        <f>I482*D482</f>
        <v>3.12</v>
      </c>
      <c r="K482" s="46"/>
      <c r="L482" s="39"/>
      <c r="M482" s="39"/>
      <c r="N482" s="39"/>
      <c r="O482" s="39"/>
      <c r="P482" s="39"/>
      <c r="Q482" s="39"/>
      <c r="R482" s="39"/>
      <c r="S482" s="39"/>
    </row>
    <row r="483" spans="1:19" x14ac:dyDescent="0.2">
      <c r="A483" s="302" t="s">
        <v>140</v>
      </c>
      <c r="B483" s="101" t="s">
        <v>329</v>
      </c>
      <c r="C483" s="102" t="s">
        <v>99</v>
      </c>
      <c r="D483" s="52">
        <v>2</v>
      </c>
      <c r="E483" s="196"/>
      <c r="F483" s="199"/>
      <c r="G483" s="200"/>
      <c r="I483" s="23"/>
      <c r="J483" s="44"/>
      <c r="K483" s="38"/>
      <c r="L483" s="38">
        <f>J482+I481</f>
        <v>5.1624999999999996</v>
      </c>
    </row>
    <row r="484" spans="1:19" x14ac:dyDescent="0.2">
      <c r="A484" s="302" t="s">
        <v>141</v>
      </c>
      <c r="B484" s="101" t="s">
        <v>445</v>
      </c>
      <c r="C484" s="102" t="s">
        <v>99</v>
      </c>
      <c r="D484" s="52">
        <v>2</v>
      </c>
      <c r="E484" s="196"/>
      <c r="F484" s="199"/>
      <c r="G484" s="200"/>
      <c r="I484" s="23"/>
      <c r="J484" s="44"/>
      <c r="K484" s="38"/>
      <c r="L484" s="38">
        <f>J483+I482</f>
        <v>1.56</v>
      </c>
    </row>
    <row r="485" spans="1:19" x14ac:dyDescent="0.2">
      <c r="A485" s="302" t="s">
        <v>142</v>
      </c>
      <c r="B485" s="342" t="s">
        <v>522</v>
      </c>
      <c r="C485" s="102" t="s">
        <v>99</v>
      </c>
      <c r="D485" s="52">
        <v>3</v>
      </c>
      <c r="E485" s="196"/>
      <c r="F485" s="208"/>
      <c r="G485" s="209"/>
      <c r="I485" s="23">
        <f>2.45*1.69</f>
        <v>4.1405000000000003</v>
      </c>
      <c r="J485" s="44">
        <f>I485*D485</f>
        <v>12.421500000000002</v>
      </c>
      <c r="K485" s="38"/>
    </row>
    <row r="486" spans="1:19" x14ac:dyDescent="0.2">
      <c r="A486" s="302" t="s">
        <v>143</v>
      </c>
      <c r="B486" s="342" t="s">
        <v>330</v>
      </c>
      <c r="C486" s="102" t="s">
        <v>99</v>
      </c>
      <c r="D486" s="52">
        <v>10</v>
      </c>
      <c r="E486" s="196"/>
      <c r="F486" s="208"/>
      <c r="G486" s="209"/>
      <c r="I486" s="23">
        <f>2.45*1.69</f>
        <v>4.1405000000000003</v>
      </c>
      <c r="J486" s="44">
        <f>I486*D486</f>
        <v>41.405000000000001</v>
      </c>
      <c r="K486" s="38"/>
    </row>
    <row r="487" spans="1:19" x14ac:dyDescent="0.2">
      <c r="A487" s="302" t="s">
        <v>144</v>
      </c>
      <c r="B487" s="101" t="s">
        <v>523</v>
      </c>
      <c r="C487" s="102" t="s">
        <v>99</v>
      </c>
      <c r="D487" s="52">
        <v>10</v>
      </c>
      <c r="E487" s="196"/>
      <c r="F487" s="208"/>
      <c r="G487" s="209"/>
      <c r="I487" s="23">
        <f>2.45*1.69</f>
        <v>4.1405000000000003</v>
      </c>
      <c r="J487" s="44">
        <f>I487*D487</f>
        <v>41.405000000000001</v>
      </c>
      <c r="K487" s="38"/>
    </row>
    <row r="488" spans="1:19" x14ac:dyDescent="0.2">
      <c r="A488" s="302"/>
      <c r="B488" s="288" t="s">
        <v>335</v>
      </c>
      <c r="C488" s="102"/>
      <c r="D488" s="52"/>
      <c r="E488" s="196"/>
      <c r="F488" s="208"/>
      <c r="G488" s="209"/>
      <c r="I488" s="23">
        <f>1.575*2</f>
        <v>3.15</v>
      </c>
      <c r="J488" s="44">
        <f>I488*D488</f>
        <v>0</v>
      </c>
      <c r="K488" s="38"/>
    </row>
    <row r="489" spans="1:19" x14ac:dyDescent="0.2">
      <c r="A489" s="302" t="s">
        <v>145</v>
      </c>
      <c r="B489" s="101" t="s">
        <v>332</v>
      </c>
      <c r="C489" s="102"/>
      <c r="D489" s="52"/>
      <c r="E489" s="196"/>
      <c r="F489" s="208"/>
      <c r="G489" s="209"/>
      <c r="I489" s="23"/>
      <c r="J489" s="44"/>
      <c r="K489" s="38"/>
    </row>
    <row r="490" spans="1:19" x14ac:dyDescent="0.2">
      <c r="A490" s="302" t="s">
        <v>146</v>
      </c>
      <c r="B490" s="101" t="s">
        <v>331</v>
      </c>
      <c r="C490" s="102"/>
      <c r="D490" s="52"/>
      <c r="E490" s="196"/>
      <c r="F490" s="208"/>
      <c r="G490" s="209"/>
      <c r="I490" s="23"/>
      <c r="J490" s="44"/>
      <c r="K490" s="38"/>
    </row>
    <row r="491" spans="1:19" ht="12.75" thickBot="1" x14ac:dyDescent="0.25">
      <c r="A491" s="302"/>
      <c r="B491" s="101"/>
      <c r="C491" s="61"/>
      <c r="D491" s="52"/>
      <c r="E491" s="196"/>
      <c r="F491" s="199"/>
      <c r="G491" s="200"/>
      <c r="I491" s="38"/>
      <c r="J491" s="23"/>
    </row>
    <row r="492" spans="1:19" x14ac:dyDescent="0.2">
      <c r="A492" s="319"/>
      <c r="B492" s="172" t="s">
        <v>154</v>
      </c>
      <c r="C492" s="153"/>
      <c r="D492" s="154"/>
      <c r="E492" s="272"/>
      <c r="F492" s="273"/>
      <c r="G492" s="270"/>
    </row>
    <row r="493" spans="1:19" ht="12.75" thickBot="1" x14ac:dyDescent="0.25">
      <c r="A493" s="320"/>
      <c r="B493" s="141" t="s">
        <v>155</v>
      </c>
      <c r="C493" s="173"/>
      <c r="D493" s="174"/>
      <c r="E493" s="274"/>
      <c r="F493" s="275"/>
      <c r="G493" s="271"/>
    </row>
    <row r="494" spans="1:19" x14ac:dyDescent="0.2">
      <c r="A494" s="318"/>
      <c r="B494" s="170"/>
      <c r="C494" s="110"/>
      <c r="D494" s="110"/>
      <c r="E494" s="206"/>
      <c r="F494" s="199"/>
      <c r="G494" s="200"/>
    </row>
    <row r="495" spans="1:19" x14ac:dyDescent="0.2">
      <c r="A495" s="318"/>
      <c r="B495" s="117" t="s">
        <v>156</v>
      </c>
      <c r="C495" s="110"/>
      <c r="D495" s="110"/>
      <c r="E495" s="206"/>
      <c r="F495" s="199"/>
      <c r="G495" s="200"/>
    </row>
    <row r="496" spans="1:19" x14ac:dyDescent="0.2">
      <c r="A496" s="318"/>
      <c r="B496" s="118" t="s">
        <v>134</v>
      </c>
      <c r="C496" s="110"/>
      <c r="D496" s="110"/>
      <c r="E496" s="206"/>
      <c r="F496" s="199"/>
      <c r="G496" s="200"/>
    </row>
    <row r="497" spans="1:19" x14ac:dyDescent="0.2">
      <c r="A497" s="318" t="s">
        <v>449</v>
      </c>
      <c r="B497" s="120" t="s">
        <v>36</v>
      </c>
      <c r="C497" s="110"/>
      <c r="D497" s="110"/>
      <c r="E497" s="206"/>
      <c r="F497" s="199"/>
      <c r="G497" s="200"/>
    </row>
    <row r="498" spans="1:19" ht="60" x14ac:dyDescent="0.2">
      <c r="A498" s="318"/>
      <c r="B498" s="110" t="s">
        <v>205</v>
      </c>
      <c r="C498" s="110"/>
      <c r="D498" s="110"/>
      <c r="E498" s="206"/>
      <c r="F498" s="199"/>
      <c r="G498" s="200"/>
    </row>
    <row r="499" spans="1:19" ht="36" x14ac:dyDescent="0.2">
      <c r="A499" s="318"/>
      <c r="B499" s="110" t="s">
        <v>102</v>
      </c>
      <c r="C499" s="110"/>
      <c r="D499" s="110"/>
      <c r="E499" s="206"/>
      <c r="F499" s="199"/>
      <c r="G499" s="200"/>
      <c r="I499" s="23"/>
    </row>
    <row r="500" spans="1:19" ht="36" x14ac:dyDescent="0.2">
      <c r="A500" s="129"/>
      <c r="B500" s="110" t="s">
        <v>195</v>
      </c>
      <c r="C500" s="110"/>
      <c r="D500" s="110"/>
      <c r="E500" s="206"/>
      <c r="F500" s="199"/>
      <c r="G500" s="200"/>
    </row>
    <row r="501" spans="1:19" s="39" customFormat="1" ht="15" customHeight="1" x14ac:dyDescent="0.2">
      <c r="A501" s="336" t="s">
        <v>450</v>
      </c>
      <c r="B501" s="337" t="s">
        <v>59</v>
      </c>
      <c r="C501" s="338"/>
      <c r="D501" s="339"/>
      <c r="E501" s="196"/>
      <c r="F501" s="199"/>
      <c r="G501" s="200"/>
      <c r="H501" s="13"/>
      <c r="I501" s="13"/>
      <c r="J501" s="13"/>
      <c r="K501" s="13"/>
      <c r="L501" s="13"/>
      <c r="M501" s="13"/>
      <c r="N501" s="13"/>
      <c r="O501" s="13"/>
      <c r="P501" s="13"/>
      <c r="Q501" s="13"/>
      <c r="R501" s="13"/>
      <c r="S501" s="13"/>
    </row>
    <row r="502" spans="1:19" ht="12.75" x14ac:dyDescent="0.2">
      <c r="A502" s="316"/>
      <c r="B502" s="109" t="s">
        <v>82</v>
      </c>
      <c r="C502" s="106"/>
      <c r="D502" s="107"/>
      <c r="E502" s="206"/>
      <c r="F502" s="199"/>
      <c r="G502" s="200"/>
      <c r="I502" s="45"/>
      <c r="J502" s="19"/>
      <c r="K502" s="17"/>
    </row>
    <row r="503" spans="1:19" ht="12" customHeight="1" x14ac:dyDescent="0.2">
      <c r="A503" s="316" t="s">
        <v>135</v>
      </c>
      <c r="B503" s="108" t="s">
        <v>297</v>
      </c>
      <c r="C503" s="106" t="s">
        <v>175</v>
      </c>
      <c r="D503" s="107">
        <v>11.5</v>
      </c>
      <c r="E503" s="206"/>
      <c r="F503" s="199"/>
      <c r="G503" s="200"/>
      <c r="I503" s="45"/>
      <c r="J503" s="19"/>
      <c r="K503" s="17"/>
    </row>
    <row r="504" spans="1:19" ht="12" customHeight="1" x14ac:dyDescent="0.2">
      <c r="A504" s="316" t="s">
        <v>136</v>
      </c>
      <c r="B504" s="108" t="s">
        <v>298</v>
      </c>
      <c r="C504" s="106" t="s">
        <v>175</v>
      </c>
      <c r="D504" s="107">
        <v>11.5</v>
      </c>
      <c r="E504" s="206"/>
      <c r="F504" s="199"/>
      <c r="G504" s="200"/>
      <c r="I504" s="45"/>
      <c r="J504" s="19"/>
      <c r="K504" s="17"/>
    </row>
    <row r="505" spans="1:19" ht="12" customHeight="1" x14ac:dyDescent="0.2">
      <c r="A505" s="316" t="s">
        <v>140</v>
      </c>
      <c r="B505" s="108" t="s">
        <v>342</v>
      </c>
      <c r="C505" s="106" t="s">
        <v>175</v>
      </c>
      <c r="D505" s="107">
        <v>7</v>
      </c>
      <c r="E505" s="206"/>
      <c r="F505" s="199"/>
      <c r="G505" s="200"/>
      <c r="I505" s="45"/>
      <c r="J505" s="19"/>
      <c r="K505" s="17"/>
    </row>
    <row r="506" spans="1:19" ht="12" customHeight="1" x14ac:dyDescent="0.2">
      <c r="A506" s="316"/>
      <c r="B506" s="108"/>
      <c r="C506" s="106"/>
      <c r="D506" s="107"/>
      <c r="E506" s="206"/>
      <c r="F506" s="199"/>
      <c r="G506" s="200"/>
    </row>
    <row r="507" spans="1:19" ht="12.75" x14ac:dyDescent="0.2">
      <c r="A507" s="316"/>
      <c r="B507" s="109"/>
      <c r="C507" s="106"/>
      <c r="D507" s="107"/>
      <c r="E507" s="206"/>
      <c r="F507" s="199"/>
      <c r="G507" s="200"/>
    </row>
    <row r="508" spans="1:19" s="39" customFormat="1" ht="15" customHeight="1" x14ac:dyDescent="0.2">
      <c r="A508" s="336" t="s">
        <v>529</v>
      </c>
      <c r="B508" s="337" t="s">
        <v>60</v>
      </c>
      <c r="C508" s="338"/>
      <c r="D508" s="339"/>
      <c r="E508" s="196"/>
      <c r="F508" s="199"/>
      <c r="G508" s="200"/>
      <c r="H508" s="13"/>
      <c r="I508" s="13"/>
      <c r="J508" s="13"/>
      <c r="K508" s="13"/>
      <c r="L508" s="13"/>
      <c r="M508" s="13"/>
      <c r="N508" s="13"/>
      <c r="O508" s="13"/>
      <c r="P508" s="13"/>
      <c r="Q508" s="13"/>
      <c r="R508" s="13"/>
      <c r="S508" s="13"/>
    </row>
    <row r="509" spans="1:19" ht="12.75" x14ac:dyDescent="0.2">
      <c r="A509" s="316"/>
      <c r="B509" s="109" t="s">
        <v>82</v>
      </c>
      <c r="C509" s="106"/>
      <c r="D509" s="107"/>
      <c r="E509" s="206"/>
      <c r="F509" s="199"/>
      <c r="G509" s="200"/>
      <c r="I509" s="45"/>
      <c r="J509" s="19"/>
      <c r="K509" s="17"/>
    </row>
    <row r="510" spans="1:19" ht="12" customHeight="1" x14ac:dyDescent="0.2">
      <c r="A510" s="316" t="s">
        <v>135</v>
      </c>
      <c r="B510" s="108" t="str">
        <f t="shared" ref="B510:B515" si="9">B430</f>
        <v xml:space="preserve">Corridor </v>
      </c>
      <c r="C510" s="106" t="s">
        <v>175</v>
      </c>
      <c r="D510" s="107">
        <v>101.8</v>
      </c>
      <c r="E510" s="206"/>
      <c r="F510" s="199"/>
      <c r="G510" s="200"/>
      <c r="I510" s="45"/>
      <c r="J510" s="19"/>
      <c r="K510" s="17"/>
    </row>
    <row r="511" spans="1:19" ht="12" customHeight="1" x14ac:dyDescent="0.2">
      <c r="A511" s="316" t="s">
        <v>136</v>
      </c>
      <c r="B511" s="108" t="str">
        <f t="shared" si="9"/>
        <v>Classroom</v>
      </c>
      <c r="C511" s="106" t="s">
        <v>175</v>
      </c>
      <c r="D511" s="107">
        <v>271.39999999999998</v>
      </c>
      <c r="E511" s="206"/>
      <c r="F511" s="199"/>
      <c r="G511" s="200"/>
      <c r="I511" s="45"/>
      <c r="J511" s="19"/>
      <c r="K511" s="17"/>
    </row>
    <row r="512" spans="1:19" ht="12" customHeight="1" x14ac:dyDescent="0.2">
      <c r="A512" s="316" t="s">
        <v>140</v>
      </c>
      <c r="B512" s="108" t="str">
        <f t="shared" si="9"/>
        <v>Store</v>
      </c>
      <c r="C512" s="106" t="s">
        <v>175</v>
      </c>
      <c r="D512" s="107">
        <v>7.3</v>
      </c>
      <c r="E512" s="206"/>
      <c r="F512" s="199"/>
      <c r="G512" s="200"/>
      <c r="I512" s="45"/>
      <c r="J512" s="19"/>
      <c r="K512" s="17"/>
    </row>
    <row r="513" spans="1:11" ht="12" customHeight="1" x14ac:dyDescent="0.2">
      <c r="A513" s="316" t="s">
        <v>141</v>
      </c>
      <c r="B513" s="108" t="str">
        <f t="shared" si="9"/>
        <v>Cleaner closet</v>
      </c>
      <c r="C513" s="106" t="s">
        <v>175</v>
      </c>
      <c r="D513" s="107">
        <v>11.57</v>
      </c>
      <c r="E513" s="206"/>
      <c r="F513" s="199"/>
      <c r="G513" s="200"/>
      <c r="I513" s="45"/>
      <c r="J513" s="19"/>
      <c r="K513" s="17"/>
    </row>
    <row r="514" spans="1:11" ht="12" customHeight="1" x14ac:dyDescent="0.2">
      <c r="A514" s="316" t="s">
        <v>142</v>
      </c>
      <c r="B514" s="108" t="str">
        <f t="shared" si="9"/>
        <v xml:space="preserve">Toilet </v>
      </c>
      <c r="C514" s="106" t="s">
        <v>175</v>
      </c>
      <c r="D514" s="107">
        <v>22.22</v>
      </c>
      <c r="E514" s="206"/>
      <c r="F514" s="199"/>
      <c r="G514" s="200"/>
      <c r="I514" s="45"/>
      <c r="J514" s="19"/>
      <c r="K514" s="17"/>
    </row>
    <row r="515" spans="1:11" ht="12" customHeight="1" x14ac:dyDescent="0.2">
      <c r="A515" s="316" t="s">
        <v>143</v>
      </c>
      <c r="B515" s="108" t="str">
        <f t="shared" si="9"/>
        <v>Staircase</v>
      </c>
      <c r="C515" s="106" t="s">
        <v>175</v>
      </c>
      <c r="D515" s="107">
        <v>20</v>
      </c>
      <c r="E515" s="206"/>
      <c r="F515" s="199"/>
      <c r="G515" s="200"/>
      <c r="I515" s="45"/>
      <c r="J515" s="19"/>
      <c r="K515" s="17"/>
    </row>
    <row r="516" spans="1:11" x14ac:dyDescent="0.2">
      <c r="A516" s="129"/>
      <c r="B516" s="121"/>
      <c r="C516" s="122"/>
      <c r="D516" s="52"/>
      <c r="E516" s="196"/>
      <c r="F516" s="199"/>
      <c r="G516" s="200"/>
    </row>
    <row r="517" spans="1:11" s="242" customFormat="1" x14ac:dyDescent="0.2">
      <c r="A517" s="307" t="s">
        <v>530</v>
      </c>
      <c r="B517" s="255" t="s">
        <v>244</v>
      </c>
      <c r="C517" s="248"/>
      <c r="D517" s="219"/>
      <c r="E517" s="196"/>
      <c r="F517" s="219"/>
      <c r="G517" s="227"/>
    </row>
    <row r="518" spans="1:11" ht="36" x14ac:dyDescent="0.2">
      <c r="A518" s="129" t="s">
        <v>135</v>
      </c>
      <c r="B518" s="121" t="s">
        <v>451</v>
      </c>
      <c r="C518" s="122" t="s">
        <v>243</v>
      </c>
      <c r="D518" s="52">
        <v>70.8</v>
      </c>
      <c r="E518" s="196"/>
      <c r="F518" s="199"/>
      <c r="G518" s="200"/>
      <c r="I518" s="13">
        <f>32.2*2</f>
        <v>64.400000000000006</v>
      </c>
    </row>
    <row r="519" spans="1:11" x14ac:dyDescent="0.2">
      <c r="A519" s="129"/>
      <c r="B519" s="121"/>
      <c r="C519" s="122"/>
      <c r="D519" s="52"/>
      <c r="E519" s="196"/>
      <c r="F519" s="199"/>
      <c r="G519" s="200"/>
    </row>
    <row r="520" spans="1:11" x14ac:dyDescent="0.2">
      <c r="A520" s="129"/>
      <c r="B520" s="121"/>
      <c r="C520" s="122"/>
      <c r="D520" s="52"/>
      <c r="E520" s="196"/>
      <c r="F520" s="199"/>
      <c r="G520" s="200"/>
    </row>
    <row r="521" spans="1:11" x14ac:dyDescent="0.2">
      <c r="A521" s="129"/>
      <c r="B521" s="121"/>
      <c r="C521" s="122"/>
      <c r="D521" s="52"/>
      <c r="E521" s="196"/>
      <c r="F521" s="199"/>
      <c r="G521" s="200"/>
    </row>
    <row r="522" spans="1:11" x14ac:dyDescent="0.2">
      <c r="A522" s="129"/>
      <c r="B522" s="121"/>
      <c r="C522" s="122"/>
      <c r="D522" s="52"/>
      <c r="E522" s="196"/>
      <c r="F522" s="199"/>
      <c r="G522" s="200"/>
    </row>
    <row r="523" spans="1:11" ht="12.75" thickBot="1" x14ac:dyDescent="0.25">
      <c r="A523" s="129"/>
      <c r="B523" s="121"/>
      <c r="C523" s="122"/>
      <c r="D523" s="52"/>
      <c r="E523" s="196"/>
      <c r="F523" s="199"/>
      <c r="G523" s="200"/>
    </row>
    <row r="524" spans="1:11" x14ac:dyDescent="0.2">
      <c r="A524" s="319"/>
      <c r="B524" s="172" t="s">
        <v>157</v>
      </c>
      <c r="C524" s="175"/>
      <c r="D524" s="176"/>
      <c r="E524" s="276"/>
      <c r="F524" s="266"/>
      <c r="G524" s="267"/>
    </row>
    <row r="525" spans="1:11" ht="12" customHeight="1" thickBot="1" x14ac:dyDescent="0.25">
      <c r="A525" s="320"/>
      <c r="B525" s="141" t="s">
        <v>100</v>
      </c>
      <c r="C525" s="177"/>
      <c r="D525" s="171"/>
      <c r="E525" s="277"/>
      <c r="F525" s="268"/>
      <c r="G525" s="269"/>
    </row>
    <row r="526" spans="1:11" x14ac:dyDescent="0.2">
      <c r="A526" s="129"/>
      <c r="B526" s="98" t="s">
        <v>101</v>
      </c>
      <c r="C526" s="51"/>
      <c r="D526" s="52"/>
      <c r="E526" s="196"/>
      <c r="F526" s="199"/>
      <c r="G526" s="200"/>
    </row>
    <row r="527" spans="1:11" x14ac:dyDescent="0.2">
      <c r="A527" s="129"/>
      <c r="B527" s="67" t="s">
        <v>84</v>
      </c>
      <c r="C527" s="51"/>
      <c r="D527" s="52"/>
      <c r="E527" s="196"/>
      <c r="F527" s="199"/>
      <c r="G527" s="200"/>
    </row>
    <row r="528" spans="1:11" x14ac:dyDescent="0.2">
      <c r="A528" s="129" t="s">
        <v>452</v>
      </c>
      <c r="B528" s="56" t="s">
        <v>36</v>
      </c>
      <c r="C528" s="51" t="s">
        <v>51</v>
      </c>
      <c r="D528" s="52"/>
      <c r="E528" s="196"/>
      <c r="F528" s="199"/>
      <c r="G528" s="200"/>
      <c r="I528" s="25"/>
      <c r="J528" s="20">
        <v>80.599999999999994</v>
      </c>
      <c r="K528" s="20"/>
    </row>
    <row r="529" spans="1:19" ht="72" x14ac:dyDescent="0.2">
      <c r="A529" s="302"/>
      <c r="B529" s="66" t="s">
        <v>221</v>
      </c>
      <c r="C529" s="85"/>
      <c r="D529" s="85"/>
      <c r="E529" s="211"/>
      <c r="F529" s="211"/>
      <c r="G529" s="231"/>
      <c r="H529" s="27"/>
      <c r="I529" s="25"/>
      <c r="J529" s="35"/>
      <c r="K529" s="20"/>
      <c r="L529" s="27"/>
      <c r="M529" s="27"/>
      <c r="N529" s="27"/>
      <c r="O529" s="27"/>
      <c r="P529" s="27"/>
      <c r="Q529" s="27"/>
      <c r="R529" s="27"/>
      <c r="S529" s="27"/>
    </row>
    <row r="530" spans="1:19" ht="24" x14ac:dyDescent="0.2">
      <c r="A530" s="302"/>
      <c r="B530" s="66" t="s">
        <v>220</v>
      </c>
      <c r="C530" s="85"/>
      <c r="D530" s="85"/>
      <c r="E530" s="211"/>
      <c r="F530" s="211"/>
      <c r="G530" s="231"/>
      <c r="H530" s="27"/>
      <c r="I530" s="25"/>
      <c r="J530" s="20">
        <v>168.85</v>
      </c>
      <c r="K530" s="20"/>
      <c r="L530" s="27"/>
      <c r="M530" s="27"/>
      <c r="N530" s="27"/>
      <c r="O530" s="27"/>
      <c r="P530" s="27"/>
      <c r="Q530" s="27"/>
      <c r="R530" s="27"/>
      <c r="S530" s="27"/>
    </row>
    <row r="531" spans="1:19" ht="48" x14ac:dyDescent="0.2">
      <c r="A531" s="302"/>
      <c r="B531" s="66" t="s">
        <v>266</v>
      </c>
      <c r="C531" s="85"/>
      <c r="D531" s="85"/>
      <c r="E531" s="211"/>
      <c r="F531" s="211"/>
      <c r="G531" s="231"/>
      <c r="H531" s="27"/>
      <c r="I531" s="25"/>
      <c r="J531" s="35"/>
      <c r="K531" s="20"/>
      <c r="L531" s="27"/>
      <c r="M531" s="27"/>
      <c r="N531" s="27"/>
      <c r="O531" s="27"/>
      <c r="P531" s="27"/>
      <c r="Q531" s="27"/>
      <c r="R531" s="27"/>
      <c r="S531" s="27"/>
    </row>
    <row r="532" spans="1:19" ht="72" x14ac:dyDescent="0.2">
      <c r="A532" s="302"/>
      <c r="B532" s="66" t="s">
        <v>267</v>
      </c>
      <c r="C532" s="85"/>
      <c r="D532" s="85"/>
      <c r="E532" s="211"/>
      <c r="F532" s="211"/>
      <c r="G532" s="231"/>
      <c r="H532" s="27"/>
      <c r="I532" s="32"/>
      <c r="J532" s="20">
        <v>139</v>
      </c>
      <c r="K532" s="33"/>
      <c r="L532" s="27"/>
      <c r="M532" s="27"/>
      <c r="N532" s="27"/>
      <c r="O532" s="27"/>
      <c r="P532" s="27"/>
      <c r="Q532" s="27"/>
      <c r="R532" s="27"/>
      <c r="S532" s="27"/>
    </row>
    <row r="533" spans="1:19" x14ac:dyDescent="0.2">
      <c r="A533" s="307" t="s">
        <v>453</v>
      </c>
      <c r="B533" s="247" t="s">
        <v>59</v>
      </c>
      <c r="C533" s="248"/>
      <c r="D533" s="219"/>
      <c r="E533" s="196"/>
      <c r="F533" s="199"/>
      <c r="G533" s="200"/>
      <c r="I533" s="20"/>
      <c r="J533" s="33"/>
      <c r="K533" s="20"/>
    </row>
    <row r="534" spans="1:19" ht="24" x14ac:dyDescent="0.2">
      <c r="A534" s="129" t="s">
        <v>135</v>
      </c>
      <c r="B534" s="123" t="s">
        <v>268</v>
      </c>
      <c r="C534" s="124" t="s">
        <v>122</v>
      </c>
      <c r="D534" s="52">
        <v>91.122500000000002</v>
      </c>
      <c r="E534" s="196"/>
      <c r="F534" s="199"/>
      <c r="G534" s="200"/>
      <c r="I534" s="20"/>
      <c r="J534" s="35"/>
      <c r="K534" s="20"/>
    </row>
    <row r="535" spans="1:19" ht="13.5" x14ac:dyDescent="0.2">
      <c r="A535" s="129" t="s">
        <v>136</v>
      </c>
      <c r="B535" s="123" t="s">
        <v>269</v>
      </c>
      <c r="C535" s="124" t="s">
        <v>122</v>
      </c>
      <c r="D535" s="52">
        <v>542.62249999999995</v>
      </c>
      <c r="E535" s="196"/>
      <c r="F535" s="199"/>
      <c r="G535" s="200"/>
      <c r="I535" s="20"/>
      <c r="J535" s="20">
        <v>143.19999999999999</v>
      </c>
      <c r="K535" s="20"/>
    </row>
    <row r="536" spans="1:19" ht="13.5" x14ac:dyDescent="0.2">
      <c r="A536" s="129" t="s">
        <v>140</v>
      </c>
      <c r="B536" s="123" t="s">
        <v>270</v>
      </c>
      <c r="C536" s="124" t="s">
        <v>122</v>
      </c>
      <c r="D536" s="52">
        <v>435.80000000000007</v>
      </c>
      <c r="E536" s="196"/>
      <c r="F536" s="199"/>
      <c r="G536" s="200"/>
      <c r="I536" s="20" t="e">
        <f>#REF!+D420+#REF!+14+D421</f>
        <v>#REF!</v>
      </c>
      <c r="J536" s="35"/>
      <c r="K536" s="20"/>
    </row>
    <row r="537" spans="1:19" x14ac:dyDescent="0.2">
      <c r="A537" s="129"/>
      <c r="B537" s="123"/>
      <c r="C537" s="124"/>
      <c r="D537" s="52"/>
      <c r="E537" s="196"/>
      <c r="F537" s="199"/>
      <c r="G537" s="200"/>
      <c r="I537" s="33"/>
      <c r="J537" s="20"/>
      <c r="K537" s="20"/>
    </row>
    <row r="538" spans="1:19" x14ac:dyDescent="0.2">
      <c r="A538" s="307" t="s">
        <v>454</v>
      </c>
      <c r="B538" s="247" t="s">
        <v>60</v>
      </c>
      <c r="C538" s="248"/>
      <c r="D538" s="219"/>
      <c r="E538" s="196"/>
      <c r="F538" s="199"/>
      <c r="G538" s="200"/>
      <c r="I538" s="20"/>
      <c r="J538" s="33"/>
      <c r="K538" s="20"/>
    </row>
    <row r="539" spans="1:19" ht="24" x14ac:dyDescent="0.2">
      <c r="A539" s="129" t="s">
        <v>135</v>
      </c>
      <c r="B539" s="123" t="s">
        <v>268</v>
      </c>
      <c r="C539" s="124" t="s">
        <v>122</v>
      </c>
      <c r="D539" s="52">
        <v>91.122500000000002</v>
      </c>
      <c r="E539" s="196"/>
      <c r="F539" s="199"/>
      <c r="G539" s="200"/>
      <c r="I539" s="20"/>
      <c r="J539" s="35"/>
      <c r="K539" s="20"/>
    </row>
    <row r="540" spans="1:19" ht="13.5" x14ac:dyDescent="0.2">
      <c r="A540" s="129" t="s">
        <v>136</v>
      </c>
      <c r="B540" s="123" t="s">
        <v>269</v>
      </c>
      <c r="C540" s="124" t="s">
        <v>122</v>
      </c>
      <c r="D540" s="52">
        <v>499.6825</v>
      </c>
      <c r="E540" s="196"/>
      <c r="F540" s="199"/>
      <c r="G540" s="200"/>
      <c r="I540" s="20"/>
      <c r="J540" s="20">
        <v>143.19999999999999</v>
      </c>
      <c r="K540" s="20"/>
    </row>
    <row r="541" spans="1:19" ht="13.5" x14ac:dyDescent="0.2">
      <c r="A541" s="129" t="s">
        <v>140</v>
      </c>
      <c r="B541" s="123" t="s">
        <v>270</v>
      </c>
      <c r="C541" s="124" t="s">
        <v>122</v>
      </c>
      <c r="D541" s="52">
        <v>434.28999999999996</v>
      </c>
      <c r="E541" s="196"/>
      <c r="F541" s="199"/>
      <c r="G541" s="200"/>
      <c r="I541" s="38" t="e">
        <f>#REF!+#REF!+#REF!+12.5+#REF!</f>
        <v>#REF!</v>
      </c>
      <c r="J541" s="35" t="e">
        <f>#REF!</f>
        <v>#REF!</v>
      </c>
      <c r="K541" s="20"/>
    </row>
    <row r="542" spans="1:19" x14ac:dyDescent="0.2">
      <c r="A542" s="307" t="s">
        <v>455</v>
      </c>
      <c r="B542" s="247" t="s">
        <v>213</v>
      </c>
      <c r="C542" s="248"/>
      <c r="D542" s="219"/>
      <c r="E542" s="196"/>
      <c r="F542" s="199"/>
      <c r="G542" s="200"/>
      <c r="J542" s="20"/>
    </row>
    <row r="543" spans="1:19" ht="24" x14ac:dyDescent="0.2">
      <c r="A543" s="129" t="s">
        <v>135</v>
      </c>
      <c r="B543" s="123" t="s">
        <v>268</v>
      </c>
      <c r="C543" s="124" t="s">
        <v>122</v>
      </c>
      <c r="D543" s="52">
        <v>17.600000000000001</v>
      </c>
      <c r="E543" s="196"/>
      <c r="F543" s="199"/>
      <c r="G543" s="200"/>
      <c r="J543" s="20"/>
    </row>
    <row r="544" spans="1:19" ht="13.5" x14ac:dyDescent="0.2">
      <c r="A544" s="129" t="s">
        <v>136</v>
      </c>
      <c r="B544" s="123" t="s">
        <v>269</v>
      </c>
      <c r="C544" s="124" t="s">
        <v>122</v>
      </c>
      <c r="D544" s="52">
        <v>17.600000000000001</v>
      </c>
      <c r="E544" s="196"/>
      <c r="F544" s="199"/>
      <c r="G544" s="200"/>
      <c r="J544" s="20"/>
    </row>
    <row r="545" spans="1:19" ht="13.5" x14ac:dyDescent="0.2">
      <c r="A545" s="129" t="s">
        <v>140</v>
      </c>
      <c r="B545" s="123" t="s">
        <v>271</v>
      </c>
      <c r="C545" s="124" t="s">
        <v>122</v>
      </c>
      <c r="D545" s="52">
        <v>69.02</v>
      </c>
      <c r="E545" s="196"/>
      <c r="F545" s="199"/>
      <c r="G545" s="200"/>
      <c r="J545" s="20"/>
    </row>
    <row r="546" spans="1:19" x14ac:dyDescent="0.2">
      <c r="A546" s="129"/>
      <c r="B546" s="123"/>
      <c r="C546" s="124"/>
      <c r="D546" s="52"/>
      <c r="E546" s="196"/>
      <c r="F546" s="199"/>
      <c r="G546" s="200"/>
      <c r="J546" s="47"/>
    </row>
    <row r="547" spans="1:19" x14ac:dyDescent="0.2">
      <c r="A547" s="129"/>
      <c r="B547" s="123"/>
      <c r="C547" s="124"/>
      <c r="D547" s="52"/>
      <c r="E547" s="196"/>
      <c r="F547" s="199"/>
      <c r="G547" s="200"/>
      <c r="J547" s="47"/>
    </row>
    <row r="548" spans="1:19" x14ac:dyDescent="0.2">
      <c r="A548" s="129"/>
      <c r="B548" s="123"/>
      <c r="C548" s="124"/>
      <c r="D548" s="52"/>
      <c r="E548" s="196"/>
      <c r="F548" s="199"/>
      <c r="G548" s="200"/>
      <c r="J548" s="47"/>
    </row>
    <row r="549" spans="1:19" x14ac:dyDescent="0.2">
      <c r="A549" s="129"/>
      <c r="B549" s="123"/>
      <c r="C549" s="124"/>
      <c r="D549" s="52"/>
      <c r="E549" s="196"/>
      <c r="F549" s="199"/>
      <c r="G549" s="200"/>
      <c r="J549" s="47"/>
    </row>
    <row r="550" spans="1:19" x14ac:dyDescent="0.2">
      <c r="A550" s="129"/>
      <c r="B550" s="123"/>
      <c r="C550" s="124"/>
      <c r="D550" s="52"/>
      <c r="E550" s="196"/>
      <c r="F550" s="199"/>
      <c r="G550" s="200"/>
      <c r="J550" s="47"/>
    </row>
    <row r="551" spans="1:19" x14ac:dyDescent="0.2">
      <c r="A551" s="129"/>
      <c r="B551" s="123"/>
      <c r="C551" s="124"/>
      <c r="D551" s="52"/>
      <c r="E551" s="196"/>
      <c r="F551" s="199"/>
      <c r="G551" s="200"/>
      <c r="J551" s="47"/>
    </row>
    <row r="552" spans="1:19" x14ac:dyDescent="0.2">
      <c r="A552" s="129"/>
      <c r="B552" s="123"/>
      <c r="C552" s="124"/>
      <c r="D552" s="52"/>
      <c r="E552" s="196"/>
      <c r="F552" s="199"/>
      <c r="G552" s="200"/>
      <c r="J552" s="47"/>
    </row>
    <row r="553" spans="1:19" x14ac:dyDescent="0.2">
      <c r="A553" s="129"/>
      <c r="B553" s="123"/>
      <c r="C553" s="124"/>
      <c r="D553" s="52"/>
      <c r="E553" s="196"/>
      <c r="F553" s="199"/>
      <c r="G553" s="200"/>
      <c r="J553" s="47"/>
    </row>
    <row r="554" spans="1:19" ht="12.75" thickBot="1" x14ac:dyDescent="0.25">
      <c r="A554" s="129"/>
      <c r="B554" s="123"/>
      <c r="C554" s="124"/>
      <c r="D554" s="52"/>
      <c r="E554" s="196"/>
      <c r="F554" s="199"/>
      <c r="G554" s="200"/>
      <c r="J554" s="47"/>
    </row>
    <row r="555" spans="1:19" ht="12" customHeight="1" x14ac:dyDescent="0.2">
      <c r="A555" s="319"/>
      <c r="B555" s="172" t="s">
        <v>158</v>
      </c>
      <c r="C555" s="166"/>
      <c r="D555" s="162"/>
      <c r="E555" s="265"/>
      <c r="F555" s="266"/>
      <c r="G555" s="267"/>
    </row>
    <row r="556" spans="1:19" ht="12" customHeight="1" thickBot="1" x14ac:dyDescent="0.25">
      <c r="A556" s="320"/>
      <c r="B556" s="141" t="s">
        <v>103</v>
      </c>
      <c r="C556" s="167"/>
      <c r="D556" s="165"/>
      <c r="E556" s="262"/>
      <c r="F556" s="268"/>
      <c r="G556" s="269"/>
    </row>
    <row r="557" spans="1:19" ht="12" customHeight="1" x14ac:dyDescent="0.2">
      <c r="A557" s="129"/>
      <c r="B557" s="98" t="s">
        <v>104</v>
      </c>
      <c r="C557" s="51"/>
      <c r="D557" s="52"/>
      <c r="E557" s="196"/>
      <c r="F557" s="199"/>
      <c r="G557" s="200"/>
    </row>
    <row r="558" spans="1:19" ht="12" customHeight="1" x14ac:dyDescent="0.2">
      <c r="A558" s="129"/>
      <c r="B558" s="67" t="s">
        <v>86</v>
      </c>
      <c r="C558" s="51"/>
      <c r="D558" s="52"/>
      <c r="E558" s="196"/>
      <c r="F558" s="199"/>
      <c r="G558" s="200"/>
    </row>
    <row r="559" spans="1:19" ht="12" customHeight="1" x14ac:dyDescent="0.2">
      <c r="A559" s="129" t="s">
        <v>456</v>
      </c>
      <c r="B559" s="56" t="s">
        <v>36</v>
      </c>
      <c r="C559" s="51"/>
      <c r="D559" s="52"/>
      <c r="E559" s="196"/>
      <c r="F559" s="199"/>
      <c r="G559" s="200"/>
    </row>
    <row r="560" spans="1:19" ht="53.25" customHeight="1" x14ac:dyDescent="0.2">
      <c r="A560" s="302"/>
      <c r="B560" s="66" t="s">
        <v>119</v>
      </c>
      <c r="C560" s="66"/>
      <c r="D560" s="66"/>
      <c r="E560" s="221"/>
      <c r="F560" s="221"/>
      <c r="G560" s="222"/>
      <c r="H560" s="27"/>
      <c r="I560" s="27"/>
      <c r="J560" s="27"/>
      <c r="K560" s="27"/>
      <c r="L560" s="27"/>
      <c r="M560" s="27"/>
      <c r="N560" s="27"/>
      <c r="O560" s="27"/>
      <c r="P560" s="27"/>
      <c r="Q560" s="27"/>
      <c r="R560" s="27"/>
      <c r="S560" s="27"/>
    </row>
    <row r="561" spans="1:19" s="242" customFormat="1" x14ac:dyDescent="0.2">
      <c r="A561" s="307" t="s">
        <v>457</v>
      </c>
      <c r="B561" s="245" t="s">
        <v>107</v>
      </c>
      <c r="C561" s="248"/>
      <c r="D561" s="219"/>
      <c r="E561" s="196"/>
      <c r="F561" s="219"/>
      <c r="G561" s="227"/>
    </row>
    <row r="562" spans="1:19" x14ac:dyDescent="0.2">
      <c r="A562" s="307" t="s">
        <v>459</v>
      </c>
      <c r="B562" s="255" t="s">
        <v>59</v>
      </c>
      <c r="C562" s="335"/>
      <c r="D562" s="219"/>
      <c r="E562" s="196"/>
      <c r="F562" s="219"/>
      <c r="G562" s="232"/>
    </row>
    <row r="563" spans="1:19" s="39" customFormat="1" ht="14.25" customHeight="1" x14ac:dyDescent="0.2">
      <c r="A563" s="325" t="s">
        <v>135</v>
      </c>
      <c r="B563" s="125" t="s">
        <v>278</v>
      </c>
      <c r="C563" s="126" t="s">
        <v>99</v>
      </c>
      <c r="D563" s="127"/>
      <c r="E563" s="230"/>
      <c r="F563" s="217"/>
      <c r="G563" s="218"/>
      <c r="H563" s="13"/>
      <c r="I563" s="13"/>
      <c r="J563" s="13"/>
      <c r="K563" s="13"/>
      <c r="L563" s="13"/>
      <c r="M563" s="13"/>
      <c r="N563" s="13"/>
      <c r="O563" s="13"/>
      <c r="P563" s="13"/>
      <c r="Q563" s="13"/>
      <c r="R563" s="13"/>
      <c r="S563" s="13"/>
    </row>
    <row r="564" spans="1:19" s="39" customFormat="1" ht="25.5" customHeight="1" x14ac:dyDescent="0.2">
      <c r="A564" s="129"/>
      <c r="B564" s="101" t="s">
        <v>301</v>
      </c>
      <c r="C564" s="102" t="s">
        <v>12</v>
      </c>
      <c r="D564" s="52">
        <v>1</v>
      </c>
      <c r="E564" s="196"/>
      <c r="F564" s="199"/>
      <c r="G564" s="200"/>
      <c r="H564" s="13"/>
      <c r="I564" s="13"/>
      <c r="J564" s="13"/>
      <c r="K564" s="13"/>
      <c r="L564" s="13"/>
      <c r="M564" s="13"/>
      <c r="N564" s="13"/>
      <c r="O564" s="13"/>
      <c r="P564" s="13"/>
      <c r="Q564" s="13"/>
      <c r="R564" s="13"/>
      <c r="S564" s="13"/>
    </row>
    <row r="565" spans="1:19" ht="12" customHeight="1" x14ac:dyDescent="0.2">
      <c r="A565" s="307" t="s">
        <v>458</v>
      </c>
      <c r="B565" s="255" t="s">
        <v>60</v>
      </c>
      <c r="C565" s="335"/>
      <c r="D565" s="219"/>
      <c r="E565" s="196"/>
      <c r="F565" s="219"/>
      <c r="G565" s="232"/>
    </row>
    <row r="566" spans="1:19" s="39" customFormat="1" ht="14.25" customHeight="1" x14ac:dyDescent="0.2">
      <c r="A566" s="325" t="s">
        <v>135</v>
      </c>
      <c r="B566" s="125" t="s">
        <v>278</v>
      </c>
      <c r="C566" s="126" t="s">
        <v>99</v>
      </c>
      <c r="D566" s="127"/>
      <c r="E566" s="230"/>
      <c r="F566" s="217"/>
      <c r="G566" s="218"/>
      <c r="H566" s="13"/>
      <c r="I566" s="13"/>
      <c r="J566" s="13"/>
      <c r="K566" s="13"/>
      <c r="L566" s="13"/>
      <c r="M566" s="13"/>
      <c r="N566" s="13"/>
      <c r="O566" s="13"/>
      <c r="P566" s="13"/>
      <c r="Q566" s="13"/>
      <c r="R566" s="13"/>
      <c r="S566" s="13"/>
    </row>
    <row r="567" spans="1:19" s="39" customFormat="1" ht="25.5" customHeight="1" x14ac:dyDescent="0.2">
      <c r="A567" s="129"/>
      <c r="B567" s="101" t="s">
        <v>301</v>
      </c>
      <c r="C567" s="102" t="s">
        <v>12</v>
      </c>
      <c r="D567" s="52">
        <v>1</v>
      </c>
      <c r="E567" s="196"/>
      <c r="F567" s="199"/>
      <c r="G567" s="200"/>
      <c r="H567" s="13"/>
      <c r="I567" s="13"/>
      <c r="J567" s="13"/>
      <c r="K567" s="13"/>
      <c r="L567" s="13"/>
      <c r="M567" s="13"/>
      <c r="N567" s="13"/>
      <c r="O567" s="13"/>
      <c r="P567" s="13"/>
      <c r="Q567" s="13"/>
      <c r="R567" s="13"/>
      <c r="S567" s="13"/>
    </row>
    <row r="568" spans="1:19" ht="12" customHeight="1" x14ac:dyDescent="0.2">
      <c r="A568" s="325" t="s">
        <v>136</v>
      </c>
      <c r="B568" s="125" t="s">
        <v>279</v>
      </c>
      <c r="C568" s="126" t="s">
        <v>99</v>
      </c>
      <c r="D568" s="127"/>
      <c r="E568" s="230"/>
      <c r="F568" s="217"/>
      <c r="G568" s="218"/>
    </row>
    <row r="569" spans="1:19" ht="27" customHeight="1" x14ac:dyDescent="0.2">
      <c r="A569" s="129"/>
      <c r="B569" s="101" t="s">
        <v>462</v>
      </c>
      <c r="C569" s="102" t="s">
        <v>461</v>
      </c>
      <c r="D569" s="52">
        <v>16</v>
      </c>
      <c r="E569" s="196"/>
      <c r="F569" s="199"/>
      <c r="G569" s="200"/>
      <c r="I569" s="13">
        <f>3*10+1.8*2</f>
        <v>33.6</v>
      </c>
    </row>
    <row r="570" spans="1:19" s="242" customFormat="1" ht="12" customHeight="1" x14ac:dyDescent="0.2">
      <c r="A570" s="307" t="s">
        <v>460</v>
      </c>
      <c r="B570" s="245" t="s">
        <v>240</v>
      </c>
      <c r="C570" s="248"/>
      <c r="D570" s="219"/>
      <c r="E570" s="196"/>
      <c r="F570" s="219"/>
      <c r="G570" s="227"/>
    </row>
    <row r="571" spans="1:19" ht="48.75" customHeight="1" x14ac:dyDescent="0.2">
      <c r="A571" s="129"/>
      <c r="B571" s="101" t="s">
        <v>302</v>
      </c>
      <c r="C571" s="102"/>
      <c r="D571" s="52"/>
      <c r="E571" s="196"/>
      <c r="F571" s="199"/>
      <c r="G571" s="200"/>
    </row>
    <row r="572" spans="1:19" ht="13.5" customHeight="1" x14ac:dyDescent="0.2">
      <c r="A572" s="129" t="s">
        <v>135</v>
      </c>
      <c r="B572" s="101" t="s">
        <v>336</v>
      </c>
      <c r="C572" s="102" t="s">
        <v>7</v>
      </c>
      <c r="D572" s="52">
        <v>12</v>
      </c>
      <c r="E572" s="196"/>
      <c r="F572" s="199"/>
      <c r="G572" s="200"/>
    </row>
    <row r="573" spans="1:19" x14ac:dyDescent="0.2">
      <c r="A573" s="129" t="s">
        <v>136</v>
      </c>
      <c r="B573" s="101" t="s">
        <v>531</v>
      </c>
      <c r="C573" s="102" t="s">
        <v>461</v>
      </c>
      <c r="D573" s="52">
        <v>24.8</v>
      </c>
      <c r="E573" s="196"/>
      <c r="F573" s="199"/>
      <c r="G573" s="200"/>
    </row>
    <row r="574" spans="1:19" x14ac:dyDescent="0.2">
      <c r="A574" s="129" t="s">
        <v>140</v>
      </c>
      <c r="B574" s="101" t="s">
        <v>532</v>
      </c>
      <c r="C574" s="102" t="s">
        <v>461</v>
      </c>
      <c r="D574" s="52">
        <v>42</v>
      </c>
      <c r="E574" s="196"/>
      <c r="F574" s="199"/>
      <c r="G574" s="200"/>
    </row>
    <row r="575" spans="1:19" ht="26.25" customHeight="1" x14ac:dyDescent="0.2">
      <c r="A575" s="129" t="s">
        <v>141</v>
      </c>
      <c r="B575" s="101" t="s">
        <v>542</v>
      </c>
      <c r="C575" s="102" t="s">
        <v>7</v>
      </c>
      <c r="D575" s="52">
        <v>16</v>
      </c>
      <c r="E575" s="196"/>
      <c r="F575" s="199"/>
      <c r="G575" s="200"/>
      <c r="I575" s="13">
        <f>32.2*8*2</f>
        <v>515.20000000000005</v>
      </c>
      <c r="J575" s="13">
        <f>I575*105%</f>
        <v>540.96</v>
      </c>
    </row>
    <row r="576" spans="1:19" ht="24" x14ac:dyDescent="0.2">
      <c r="A576" s="129" t="s">
        <v>142</v>
      </c>
      <c r="B576" s="101" t="s">
        <v>241</v>
      </c>
      <c r="C576" s="124" t="s">
        <v>122</v>
      </c>
      <c r="D576" s="52">
        <v>554.4</v>
      </c>
      <c r="E576" s="196"/>
      <c r="F576" s="199"/>
      <c r="G576" s="200"/>
      <c r="I576" s="13">
        <f>32.2*6.616*2</f>
        <v>426.07040000000001</v>
      </c>
    </row>
    <row r="577" spans="1:9" ht="24" x14ac:dyDescent="0.2">
      <c r="A577" s="129" t="s">
        <v>143</v>
      </c>
      <c r="B577" s="101" t="s">
        <v>337</v>
      </c>
      <c r="C577" s="124" t="s">
        <v>122</v>
      </c>
      <c r="D577" s="52">
        <v>554.4</v>
      </c>
      <c r="E577" s="196"/>
      <c r="F577" s="199"/>
      <c r="G577" s="200"/>
    </row>
    <row r="578" spans="1:9" ht="24" x14ac:dyDescent="0.2">
      <c r="A578" s="129" t="s">
        <v>144</v>
      </c>
      <c r="B578" s="101" t="s">
        <v>242</v>
      </c>
      <c r="C578" s="124" t="s">
        <v>461</v>
      </c>
      <c r="D578" s="52">
        <v>42</v>
      </c>
      <c r="E578" s="196"/>
      <c r="F578" s="199"/>
      <c r="G578" s="200"/>
    </row>
    <row r="579" spans="1:9" ht="24" x14ac:dyDescent="0.2">
      <c r="A579" s="129" t="s">
        <v>145</v>
      </c>
      <c r="B579" s="101" t="s">
        <v>343</v>
      </c>
      <c r="C579" s="124" t="s">
        <v>461</v>
      </c>
      <c r="D579" s="52">
        <v>84</v>
      </c>
      <c r="E579" s="196"/>
      <c r="F579" s="199"/>
      <c r="G579" s="200"/>
      <c r="I579" s="13">
        <f>6.7*4</f>
        <v>26.8</v>
      </c>
    </row>
    <row r="580" spans="1:9" x14ac:dyDescent="0.2">
      <c r="A580" s="129"/>
      <c r="B580" s="101"/>
      <c r="C580" s="124"/>
      <c r="D580" s="52"/>
      <c r="E580" s="196"/>
      <c r="F580" s="199"/>
      <c r="G580" s="200"/>
    </row>
    <row r="581" spans="1:9" ht="12" customHeight="1" x14ac:dyDescent="0.2">
      <c r="A581" s="129"/>
      <c r="B581" s="101"/>
      <c r="C581" s="124"/>
      <c r="D581" s="52"/>
      <c r="E581" s="196"/>
      <c r="F581" s="199"/>
      <c r="G581" s="200"/>
    </row>
    <row r="582" spans="1:9" ht="12" customHeight="1" x14ac:dyDescent="0.2">
      <c r="A582" s="129"/>
      <c r="B582" s="101"/>
      <c r="C582" s="124"/>
      <c r="D582" s="52"/>
      <c r="E582" s="196"/>
      <c r="F582" s="199"/>
      <c r="G582" s="200"/>
    </row>
    <row r="583" spans="1:9" ht="12.75" thickBot="1" x14ac:dyDescent="0.25">
      <c r="A583" s="129"/>
      <c r="B583" s="101"/>
      <c r="C583" s="124"/>
      <c r="D583" s="52"/>
      <c r="E583" s="196"/>
      <c r="F583" s="199"/>
      <c r="G583" s="200"/>
    </row>
    <row r="584" spans="1:9" x14ac:dyDescent="0.2">
      <c r="A584" s="319"/>
      <c r="B584" s="172" t="s">
        <v>159</v>
      </c>
      <c r="C584" s="175"/>
      <c r="D584" s="278"/>
      <c r="E584" s="265"/>
      <c r="F584" s="266"/>
      <c r="G584" s="267"/>
    </row>
    <row r="585" spans="1:9" ht="12.75" thickBot="1" x14ac:dyDescent="0.25">
      <c r="A585" s="320"/>
      <c r="B585" s="141" t="s">
        <v>105</v>
      </c>
      <c r="C585" s="177"/>
      <c r="D585" s="279"/>
      <c r="E585" s="262"/>
      <c r="F585" s="268"/>
      <c r="G585" s="269"/>
    </row>
    <row r="586" spans="1:9" x14ac:dyDescent="0.2">
      <c r="A586" s="129"/>
      <c r="B586" s="116"/>
      <c r="C586" s="51"/>
      <c r="D586" s="52"/>
      <c r="E586" s="196"/>
      <c r="F586" s="199"/>
      <c r="G586" s="200"/>
    </row>
    <row r="587" spans="1:9" x14ac:dyDescent="0.2">
      <c r="A587" s="129"/>
      <c r="B587" s="98" t="s">
        <v>106</v>
      </c>
      <c r="C587" s="51"/>
      <c r="D587" s="52"/>
      <c r="E587" s="196"/>
      <c r="F587" s="199"/>
      <c r="G587" s="200"/>
    </row>
    <row r="588" spans="1:9" ht="13.5" customHeight="1" x14ac:dyDescent="0.2">
      <c r="A588" s="129"/>
      <c r="B588" s="67" t="s">
        <v>110</v>
      </c>
      <c r="C588" s="51"/>
      <c r="D588" s="52"/>
      <c r="E588" s="196"/>
      <c r="F588" s="199"/>
      <c r="G588" s="200"/>
    </row>
    <row r="589" spans="1:9" x14ac:dyDescent="0.2">
      <c r="A589" s="129" t="s">
        <v>470</v>
      </c>
      <c r="B589" s="56" t="s">
        <v>36</v>
      </c>
      <c r="C589" s="51"/>
      <c r="D589" s="52"/>
      <c r="E589" s="196"/>
      <c r="F589" s="199"/>
      <c r="G589" s="200"/>
    </row>
    <row r="590" spans="1:9" ht="36" x14ac:dyDescent="0.2">
      <c r="A590" s="129"/>
      <c r="B590" s="89" t="s">
        <v>131</v>
      </c>
      <c r="C590" s="99"/>
      <c r="D590" s="99"/>
      <c r="E590" s="225"/>
      <c r="F590" s="225"/>
      <c r="G590" s="226"/>
    </row>
    <row r="591" spans="1:9" ht="48" x14ac:dyDescent="0.2">
      <c r="A591" s="130"/>
      <c r="B591" s="89" t="s">
        <v>130</v>
      </c>
      <c r="C591" s="99"/>
      <c r="D591" s="99"/>
      <c r="E591" s="225"/>
      <c r="F591" s="225"/>
      <c r="G591" s="226"/>
    </row>
    <row r="592" spans="1:9" ht="24" x14ac:dyDescent="0.2">
      <c r="A592" s="129"/>
      <c r="B592" s="89" t="s">
        <v>208</v>
      </c>
      <c r="C592" s="99"/>
      <c r="D592" s="99"/>
      <c r="E592" s="225"/>
      <c r="F592" s="225"/>
      <c r="G592" s="226"/>
    </row>
    <row r="593" spans="1:7" ht="84" x14ac:dyDescent="0.2">
      <c r="A593" s="129"/>
      <c r="B593" s="89" t="s">
        <v>129</v>
      </c>
      <c r="C593" s="99"/>
      <c r="D593" s="99"/>
      <c r="E593" s="225"/>
      <c r="F593" s="225"/>
      <c r="G593" s="226"/>
    </row>
    <row r="594" spans="1:7" ht="24" x14ac:dyDescent="0.2">
      <c r="A594" s="129"/>
      <c r="B594" s="89" t="s">
        <v>209</v>
      </c>
      <c r="C594" s="99"/>
      <c r="D594" s="99"/>
      <c r="E594" s="225"/>
      <c r="F594" s="225"/>
      <c r="G594" s="226"/>
    </row>
    <row r="595" spans="1:7" x14ac:dyDescent="0.2">
      <c r="A595" s="326" t="s">
        <v>471</v>
      </c>
      <c r="B595" s="256" t="s">
        <v>59</v>
      </c>
      <c r="C595" s="253"/>
      <c r="D595" s="334"/>
      <c r="E595" s="230"/>
      <c r="F595" s="199"/>
      <c r="G595" s="200"/>
    </row>
    <row r="596" spans="1:7" s="242" customFormat="1" x14ac:dyDescent="0.2">
      <c r="A596" s="326" t="s">
        <v>472</v>
      </c>
      <c r="B596" s="256" t="s">
        <v>111</v>
      </c>
      <c r="C596" s="248"/>
      <c r="D596" s="257"/>
      <c r="E596" s="196"/>
      <c r="F596" s="219"/>
      <c r="G596" s="227"/>
    </row>
    <row r="597" spans="1:7" x14ac:dyDescent="0.2">
      <c r="A597" s="128" t="s">
        <v>149</v>
      </c>
      <c r="B597" s="95" t="s">
        <v>169</v>
      </c>
      <c r="C597" s="122" t="s">
        <v>12</v>
      </c>
      <c r="D597" s="96">
        <v>1</v>
      </c>
      <c r="E597" s="196"/>
      <c r="F597" s="199"/>
      <c r="G597" s="200"/>
    </row>
    <row r="598" spans="1:7" ht="24" x14ac:dyDescent="0.2">
      <c r="A598" s="128" t="s">
        <v>150</v>
      </c>
      <c r="B598" s="95" t="s">
        <v>170</v>
      </c>
      <c r="C598" s="122" t="s">
        <v>12</v>
      </c>
      <c r="D598" s="96">
        <v>1</v>
      </c>
      <c r="E598" s="196"/>
      <c r="F598" s="199"/>
      <c r="G598" s="200"/>
    </row>
    <row r="599" spans="1:7" ht="36" x14ac:dyDescent="0.2">
      <c r="A599" s="128" t="s">
        <v>152</v>
      </c>
      <c r="B599" s="95" t="s">
        <v>199</v>
      </c>
      <c r="C599" s="122" t="s">
        <v>99</v>
      </c>
      <c r="D599" s="96">
        <v>1</v>
      </c>
      <c r="E599" s="196"/>
      <c r="F599" s="199"/>
      <c r="G599" s="200"/>
    </row>
    <row r="600" spans="1:7" x14ac:dyDescent="0.2">
      <c r="A600" s="326" t="s">
        <v>473</v>
      </c>
      <c r="B600" s="255" t="s">
        <v>112</v>
      </c>
      <c r="C600" s="248"/>
      <c r="D600" s="257"/>
      <c r="E600" s="196"/>
      <c r="F600" s="199"/>
      <c r="G600" s="200"/>
    </row>
    <row r="601" spans="1:7" x14ac:dyDescent="0.2">
      <c r="A601" s="128" t="s">
        <v>135</v>
      </c>
      <c r="B601" s="95" t="s">
        <v>533</v>
      </c>
      <c r="C601" s="122" t="s">
        <v>99</v>
      </c>
      <c r="D601" s="96">
        <v>2</v>
      </c>
      <c r="E601" s="196"/>
      <c r="F601" s="199"/>
      <c r="G601" s="200"/>
    </row>
    <row r="602" spans="1:7" x14ac:dyDescent="0.2">
      <c r="A602" s="128" t="s">
        <v>136</v>
      </c>
      <c r="B602" s="95" t="s">
        <v>307</v>
      </c>
      <c r="C602" s="122" t="s">
        <v>99</v>
      </c>
      <c r="D602" s="96">
        <v>6</v>
      </c>
      <c r="E602" s="196"/>
      <c r="F602" s="199"/>
      <c r="G602" s="200"/>
    </row>
    <row r="603" spans="1:7" x14ac:dyDescent="0.2">
      <c r="A603" s="128" t="s">
        <v>140</v>
      </c>
      <c r="B603" s="95" t="s">
        <v>467</v>
      </c>
      <c r="C603" s="122" t="s">
        <v>99</v>
      </c>
      <c r="D603" s="96">
        <v>2</v>
      </c>
      <c r="E603" s="196"/>
      <c r="F603" s="199"/>
      <c r="G603" s="200"/>
    </row>
    <row r="604" spans="1:7" x14ac:dyDescent="0.2">
      <c r="A604" s="128" t="s">
        <v>141</v>
      </c>
      <c r="B604" s="95" t="s">
        <v>534</v>
      </c>
      <c r="C604" s="122" t="s">
        <v>99</v>
      </c>
      <c r="D604" s="96">
        <v>1</v>
      </c>
      <c r="E604" s="196"/>
      <c r="F604" s="199"/>
      <c r="G604" s="200"/>
    </row>
    <row r="605" spans="1:7" x14ac:dyDescent="0.2">
      <c r="A605" s="128" t="s">
        <v>142</v>
      </c>
      <c r="B605" s="95" t="s">
        <v>306</v>
      </c>
      <c r="C605" s="122" t="s">
        <v>99</v>
      </c>
      <c r="D605" s="96">
        <v>13</v>
      </c>
      <c r="E605" s="196"/>
      <c r="F605" s="199"/>
      <c r="G605" s="200"/>
    </row>
    <row r="606" spans="1:7" x14ac:dyDescent="0.2">
      <c r="A606" s="128" t="s">
        <v>143</v>
      </c>
      <c r="B606" s="95" t="s">
        <v>546</v>
      </c>
      <c r="C606" s="122" t="s">
        <v>99</v>
      </c>
      <c r="D606" s="96">
        <v>2</v>
      </c>
      <c r="E606" s="196"/>
      <c r="F606" s="199"/>
      <c r="G606" s="200"/>
    </row>
    <row r="607" spans="1:7" x14ac:dyDescent="0.2">
      <c r="A607" s="128" t="s">
        <v>144</v>
      </c>
      <c r="B607" s="95" t="s">
        <v>479</v>
      </c>
      <c r="C607" s="122" t="s">
        <v>99</v>
      </c>
      <c r="D607" s="96">
        <v>5</v>
      </c>
      <c r="E607" s="196"/>
      <c r="F607" s="199"/>
      <c r="G607" s="200"/>
    </row>
    <row r="608" spans="1:7" x14ac:dyDescent="0.2">
      <c r="A608" s="128" t="s">
        <v>145</v>
      </c>
      <c r="B608" s="95" t="s">
        <v>303</v>
      </c>
      <c r="C608" s="122" t="s">
        <v>99</v>
      </c>
      <c r="D608" s="96">
        <v>5</v>
      </c>
      <c r="E608" s="196"/>
      <c r="F608" s="199"/>
      <c r="G608" s="200"/>
    </row>
    <row r="609" spans="1:10" x14ac:dyDescent="0.2">
      <c r="A609" s="128" t="s">
        <v>146</v>
      </c>
      <c r="B609" s="95" t="s">
        <v>536</v>
      </c>
      <c r="C609" s="122" t="s">
        <v>99</v>
      </c>
      <c r="D609" s="96">
        <v>7</v>
      </c>
      <c r="E609" s="196"/>
      <c r="F609" s="199"/>
      <c r="G609" s="200"/>
    </row>
    <row r="610" spans="1:10" x14ac:dyDescent="0.2">
      <c r="A610" s="128" t="s">
        <v>411</v>
      </c>
      <c r="B610" s="95" t="s">
        <v>535</v>
      </c>
      <c r="C610" s="122" t="s">
        <v>99</v>
      </c>
      <c r="D610" s="96">
        <v>5</v>
      </c>
      <c r="E610" s="196"/>
      <c r="F610" s="199"/>
      <c r="G610" s="200"/>
    </row>
    <row r="611" spans="1:10" x14ac:dyDescent="0.2">
      <c r="A611" s="128" t="s">
        <v>463</v>
      </c>
      <c r="B611" s="95" t="s">
        <v>304</v>
      </c>
      <c r="C611" s="122" t="s">
        <v>99</v>
      </c>
      <c r="D611" s="96">
        <v>5</v>
      </c>
      <c r="E611" s="196"/>
      <c r="F611" s="199"/>
      <c r="G611" s="200"/>
    </row>
    <row r="612" spans="1:10" x14ac:dyDescent="0.2">
      <c r="A612" s="128" t="s">
        <v>464</v>
      </c>
      <c r="B612" s="95" t="s">
        <v>468</v>
      </c>
      <c r="C612" s="122" t="s">
        <v>99</v>
      </c>
      <c r="D612" s="96">
        <v>5</v>
      </c>
      <c r="E612" s="196"/>
      <c r="F612" s="199"/>
      <c r="G612" s="200"/>
    </row>
    <row r="613" spans="1:10" x14ac:dyDescent="0.2">
      <c r="A613" s="128" t="s">
        <v>465</v>
      </c>
      <c r="B613" s="95" t="s">
        <v>305</v>
      </c>
      <c r="C613" s="122" t="s">
        <v>99</v>
      </c>
      <c r="D613" s="96">
        <v>5</v>
      </c>
      <c r="E613" s="196"/>
      <c r="F613" s="199"/>
      <c r="G613" s="200"/>
    </row>
    <row r="614" spans="1:10" ht="24" x14ac:dyDescent="0.2">
      <c r="A614" s="128" t="s">
        <v>466</v>
      </c>
      <c r="B614" s="95" t="s">
        <v>469</v>
      </c>
      <c r="C614" s="122" t="s">
        <v>12</v>
      </c>
      <c r="D614" s="96">
        <v>1</v>
      </c>
      <c r="E614" s="196"/>
      <c r="F614" s="199"/>
      <c r="G614" s="200"/>
    </row>
    <row r="615" spans="1:10" s="242" customFormat="1" x14ac:dyDescent="0.2">
      <c r="A615" s="326" t="s">
        <v>474</v>
      </c>
      <c r="B615" s="125" t="s">
        <v>171</v>
      </c>
      <c r="C615" s="258"/>
      <c r="D615" s="257"/>
      <c r="E615" s="196"/>
      <c r="F615" s="199"/>
      <c r="G615" s="200"/>
    </row>
    <row r="616" spans="1:10" ht="48" x14ac:dyDescent="0.2">
      <c r="A616" s="128" t="s">
        <v>475</v>
      </c>
      <c r="B616" s="95" t="s">
        <v>476</v>
      </c>
      <c r="C616" s="122" t="s">
        <v>12</v>
      </c>
      <c r="D616" s="96">
        <v>1</v>
      </c>
      <c r="E616" s="196"/>
      <c r="F616" s="199"/>
      <c r="G616" s="200"/>
    </row>
    <row r="617" spans="1:10" ht="12.75" customHeight="1" x14ac:dyDescent="0.2">
      <c r="A617" s="128"/>
      <c r="B617" s="95"/>
      <c r="C617" s="61"/>
      <c r="D617" s="96"/>
      <c r="E617" s="196"/>
      <c r="F617" s="199"/>
      <c r="G617" s="200"/>
      <c r="I617" s="23"/>
      <c r="J617" s="23"/>
    </row>
    <row r="618" spans="1:10" ht="12.75" customHeight="1" x14ac:dyDescent="0.2">
      <c r="A618" s="128"/>
      <c r="B618" s="95"/>
      <c r="C618" s="61"/>
      <c r="D618" s="96"/>
      <c r="E618" s="196"/>
      <c r="F618" s="199"/>
      <c r="G618" s="200"/>
      <c r="I618" s="23"/>
      <c r="J618" s="23"/>
    </row>
    <row r="619" spans="1:10" ht="12.75" customHeight="1" x14ac:dyDescent="0.2">
      <c r="A619" s="128"/>
      <c r="B619" s="95"/>
      <c r="C619" s="61"/>
      <c r="D619" s="96"/>
      <c r="E619" s="196"/>
      <c r="F619" s="199"/>
      <c r="G619" s="200"/>
      <c r="I619" s="23"/>
      <c r="J619" s="23"/>
    </row>
    <row r="620" spans="1:10" ht="12.75" customHeight="1" thickBot="1" x14ac:dyDescent="0.25">
      <c r="A620" s="147"/>
      <c r="B620" s="148"/>
      <c r="C620" s="142"/>
      <c r="D620" s="149"/>
      <c r="E620" s="196"/>
      <c r="F620" s="199"/>
      <c r="G620" s="200"/>
      <c r="I620" s="23"/>
      <c r="J620" s="23"/>
    </row>
    <row r="621" spans="1:10" ht="12" customHeight="1" x14ac:dyDescent="0.2">
      <c r="A621" s="128"/>
      <c r="B621" s="95"/>
      <c r="C621" s="122"/>
      <c r="D621" s="96"/>
      <c r="E621" s="196"/>
      <c r="F621" s="199"/>
      <c r="G621" s="200"/>
      <c r="I621" s="23"/>
      <c r="J621" s="23"/>
    </row>
    <row r="622" spans="1:10" ht="13.5" customHeight="1" x14ac:dyDescent="0.2">
      <c r="A622" s="326" t="s">
        <v>477</v>
      </c>
      <c r="B622" s="256" t="s">
        <v>60</v>
      </c>
      <c r="C622" s="253"/>
      <c r="D622" s="334"/>
      <c r="E622" s="230"/>
      <c r="F622" s="199"/>
      <c r="G622" s="200"/>
    </row>
    <row r="623" spans="1:10" s="242" customFormat="1" x14ac:dyDescent="0.2">
      <c r="A623" s="326" t="s">
        <v>478</v>
      </c>
      <c r="B623" s="256" t="s">
        <v>111</v>
      </c>
      <c r="C623" s="248"/>
      <c r="D623" s="257"/>
      <c r="E623" s="196"/>
      <c r="F623" s="219"/>
      <c r="G623" s="227"/>
      <c r="I623" s="251"/>
      <c r="J623" s="251"/>
    </row>
    <row r="624" spans="1:10" x14ac:dyDescent="0.2">
      <c r="A624" s="128" t="s">
        <v>149</v>
      </c>
      <c r="B624" s="95" t="s">
        <v>169</v>
      </c>
      <c r="C624" s="122" t="s">
        <v>12</v>
      </c>
      <c r="D624" s="96">
        <v>1</v>
      </c>
      <c r="E624" s="196"/>
      <c r="F624" s="199"/>
      <c r="G624" s="200"/>
    </row>
    <row r="625" spans="1:7" ht="24" x14ac:dyDescent="0.2">
      <c r="A625" s="128" t="s">
        <v>150</v>
      </c>
      <c r="B625" s="95" t="s">
        <v>170</v>
      </c>
      <c r="C625" s="122" t="s">
        <v>12</v>
      </c>
      <c r="D625" s="96">
        <v>1</v>
      </c>
      <c r="E625" s="196"/>
      <c r="F625" s="199"/>
      <c r="G625" s="200"/>
    </row>
    <row r="626" spans="1:7" s="242" customFormat="1" x14ac:dyDescent="0.2">
      <c r="A626" s="326" t="s">
        <v>480</v>
      </c>
      <c r="B626" s="255" t="s">
        <v>112</v>
      </c>
      <c r="C626" s="248"/>
      <c r="D626" s="257"/>
      <c r="E626" s="196"/>
      <c r="F626" s="199"/>
      <c r="G626" s="200"/>
    </row>
    <row r="627" spans="1:7" x14ac:dyDescent="0.2">
      <c r="A627" s="128" t="s">
        <v>135</v>
      </c>
      <c r="B627" s="95" t="s">
        <v>307</v>
      </c>
      <c r="C627" s="122" t="s">
        <v>99</v>
      </c>
      <c r="D627" s="96">
        <v>6</v>
      </c>
      <c r="E627" s="196"/>
      <c r="F627" s="199"/>
      <c r="G627" s="200"/>
    </row>
    <row r="628" spans="1:7" x14ac:dyDescent="0.2">
      <c r="A628" s="128" t="s">
        <v>136</v>
      </c>
      <c r="B628" s="95" t="s">
        <v>306</v>
      </c>
      <c r="C628" s="122" t="s">
        <v>99</v>
      </c>
      <c r="D628" s="96">
        <v>5</v>
      </c>
      <c r="E628" s="196"/>
      <c r="F628" s="199"/>
      <c r="G628" s="200"/>
    </row>
    <row r="629" spans="1:7" x14ac:dyDescent="0.2">
      <c r="A629" s="128" t="s">
        <v>140</v>
      </c>
      <c r="B629" s="95" t="s">
        <v>479</v>
      </c>
      <c r="C629" s="122" t="s">
        <v>99</v>
      </c>
      <c r="D629" s="96">
        <v>4</v>
      </c>
      <c r="E629" s="196"/>
      <c r="F629" s="199"/>
      <c r="G629" s="200"/>
    </row>
    <row r="630" spans="1:7" x14ac:dyDescent="0.2">
      <c r="A630" s="128" t="s">
        <v>141</v>
      </c>
      <c r="B630" s="95" t="s">
        <v>303</v>
      </c>
      <c r="C630" s="122" t="s">
        <v>99</v>
      </c>
      <c r="D630" s="96">
        <v>4</v>
      </c>
      <c r="E630" s="196"/>
      <c r="F630" s="199"/>
      <c r="G630" s="200"/>
    </row>
    <row r="631" spans="1:7" x14ac:dyDescent="0.2">
      <c r="A631" s="128" t="s">
        <v>142</v>
      </c>
      <c r="B631" s="95" t="s">
        <v>535</v>
      </c>
      <c r="C631" s="122" t="s">
        <v>99</v>
      </c>
      <c r="D631" s="96">
        <v>4</v>
      </c>
      <c r="E631" s="196"/>
      <c r="F631" s="199"/>
      <c r="G631" s="200"/>
    </row>
    <row r="632" spans="1:7" x14ac:dyDescent="0.2">
      <c r="A632" s="128" t="s">
        <v>143</v>
      </c>
      <c r="B632" s="95" t="s">
        <v>304</v>
      </c>
      <c r="C632" s="122" t="s">
        <v>99</v>
      </c>
      <c r="D632" s="96">
        <v>4</v>
      </c>
      <c r="E632" s="196"/>
      <c r="F632" s="199"/>
      <c r="G632" s="200"/>
    </row>
    <row r="633" spans="1:7" x14ac:dyDescent="0.2">
      <c r="A633" s="128" t="s">
        <v>144</v>
      </c>
      <c r="B633" s="95" t="s">
        <v>468</v>
      </c>
      <c r="C633" s="122" t="s">
        <v>99</v>
      </c>
      <c r="D633" s="96">
        <v>4</v>
      </c>
      <c r="E633" s="196"/>
      <c r="F633" s="199"/>
      <c r="G633" s="200"/>
    </row>
    <row r="634" spans="1:7" x14ac:dyDescent="0.2">
      <c r="A634" s="128" t="s">
        <v>145</v>
      </c>
      <c r="B634" s="95" t="s">
        <v>305</v>
      </c>
      <c r="C634" s="122" t="s">
        <v>99</v>
      </c>
      <c r="D634" s="96">
        <v>3</v>
      </c>
      <c r="E634" s="196"/>
      <c r="F634" s="199"/>
      <c r="G634" s="200"/>
    </row>
    <row r="635" spans="1:7" s="242" customFormat="1" x14ac:dyDescent="0.2">
      <c r="A635" s="326" t="s">
        <v>481</v>
      </c>
      <c r="B635" s="125" t="s">
        <v>171</v>
      </c>
      <c r="C635" s="258"/>
      <c r="D635" s="257"/>
      <c r="E635" s="196"/>
      <c r="F635" s="199"/>
      <c r="G635" s="200"/>
    </row>
    <row r="636" spans="1:7" ht="48" x14ac:dyDescent="0.2">
      <c r="A636" s="128" t="s">
        <v>135</v>
      </c>
      <c r="B636" s="95" t="s">
        <v>482</v>
      </c>
      <c r="C636" s="122" t="s">
        <v>12</v>
      </c>
      <c r="D636" s="96">
        <v>1</v>
      </c>
      <c r="E636" s="196"/>
      <c r="F636" s="199"/>
      <c r="G636" s="200"/>
    </row>
    <row r="637" spans="1:7" ht="7.5" customHeight="1" x14ac:dyDescent="0.2">
      <c r="A637" s="129"/>
      <c r="B637" s="101"/>
      <c r="C637" s="124"/>
      <c r="D637" s="52"/>
      <c r="E637" s="196"/>
      <c r="F637" s="199"/>
      <c r="G637" s="200"/>
    </row>
    <row r="638" spans="1:7" x14ac:dyDescent="0.2">
      <c r="A638" s="326" t="s">
        <v>483</v>
      </c>
      <c r="B638" s="256" t="s">
        <v>213</v>
      </c>
      <c r="C638" s="253"/>
      <c r="D638" s="334"/>
      <c r="E638" s="230"/>
      <c r="F638" s="199"/>
      <c r="G638" s="200"/>
    </row>
    <row r="639" spans="1:7" s="242" customFormat="1" x14ac:dyDescent="0.2">
      <c r="A639" s="326" t="s">
        <v>484</v>
      </c>
      <c r="B639" s="125" t="s">
        <v>171</v>
      </c>
      <c r="C639" s="258"/>
      <c r="D639" s="257"/>
      <c r="E639" s="196"/>
      <c r="F639" s="199"/>
      <c r="G639" s="200"/>
    </row>
    <row r="640" spans="1:7" ht="48" x14ac:dyDescent="0.2">
      <c r="A640" s="128" t="s">
        <v>135</v>
      </c>
      <c r="B640" s="95" t="s">
        <v>245</v>
      </c>
      <c r="C640" s="122" t="s">
        <v>12</v>
      </c>
      <c r="D640" s="96">
        <v>1</v>
      </c>
      <c r="E640" s="196"/>
      <c r="F640" s="199"/>
      <c r="G640" s="200"/>
    </row>
    <row r="641" spans="1:7" ht="12.75" thickBot="1" x14ac:dyDescent="0.25">
      <c r="A641" s="129"/>
      <c r="B641" s="101"/>
      <c r="C641" s="124"/>
      <c r="D641" s="52"/>
      <c r="E641" s="196"/>
      <c r="F641" s="199"/>
      <c r="G641" s="200"/>
    </row>
    <row r="642" spans="1:7" x14ac:dyDescent="0.2">
      <c r="A642" s="319"/>
      <c r="B642" s="172" t="s">
        <v>160</v>
      </c>
      <c r="C642" s="166"/>
      <c r="D642" s="162"/>
      <c r="E642" s="265"/>
      <c r="F642" s="266"/>
      <c r="G642" s="267"/>
    </row>
    <row r="643" spans="1:7" ht="12.75" thickBot="1" x14ac:dyDescent="0.25">
      <c r="A643" s="320"/>
      <c r="B643" s="141" t="s">
        <v>108</v>
      </c>
      <c r="C643" s="167"/>
      <c r="D643" s="165"/>
      <c r="E643" s="262"/>
      <c r="F643" s="268"/>
      <c r="G643" s="269"/>
    </row>
    <row r="644" spans="1:7" x14ac:dyDescent="0.2">
      <c r="A644" s="321"/>
      <c r="B644" s="88"/>
      <c r="C644" s="124"/>
      <c r="D644" s="52"/>
      <c r="E644" s="196"/>
      <c r="F644" s="199"/>
      <c r="G644" s="200"/>
    </row>
    <row r="645" spans="1:7" x14ac:dyDescent="0.2">
      <c r="A645" s="129"/>
      <c r="B645" s="98" t="s">
        <v>109</v>
      </c>
      <c r="C645" s="124"/>
      <c r="D645" s="52"/>
      <c r="E645" s="196"/>
      <c r="F645" s="199"/>
      <c r="G645" s="200"/>
    </row>
    <row r="646" spans="1:7" x14ac:dyDescent="0.2">
      <c r="A646" s="129"/>
      <c r="B646" s="67" t="s">
        <v>89</v>
      </c>
      <c r="C646" s="51"/>
      <c r="D646" s="52"/>
      <c r="E646" s="196"/>
      <c r="F646" s="199"/>
      <c r="G646" s="200"/>
    </row>
    <row r="647" spans="1:7" x14ac:dyDescent="0.2">
      <c r="A647" s="129" t="s">
        <v>488</v>
      </c>
      <c r="B647" s="56" t="s">
        <v>36</v>
      </c>
      <c r="C647" s="51"/>
      <c r="D647" s="52"/>
      <c r="E647" s="219"/>
      <c r="F647" s="199"/>
      <c r="G647" s="200"/>
    </row>
    <row r="648" spans="1:7" ht="48" x14ac:dyDescent="0.2">
      <c r="A648" s="129"/>
      <c r="B648" s="89" t="s">
        <v>218</v>
      </c>
      <c r="C648" s="99"/>
      <c r="D648" s="99"/>
      <c r="E648" s="225"/>
      <c r="F648" s="225"/>
      <c r="G648" s="226"/>
    </row>
    <row r="649" spans="1:7" ht="48" x14ac:dyDescent="0.2">
      <c r="A649" s="129"/>
      <c r="B649" s="89" t="s">
        <v>219</v>
      </c>
      <c r="C649" s="99"/>
      <c r="D649" s="99"/>
      <c r="E649" s="225"/>
      <c r="F649" s="225"/>
      <c r="G649" s="226"/>
    </row>
    <row r="650" spans="1:7" ht="60" x14ac:dyDescent="0.2">
      <c r="A650" s="129"/>
      <c r="B650" s="89" t="s">
        <v>547</v>
      </c>
      <c r="C650" s="99"/>
      <c r="D650" s="99"/>
      <c r="E650" s="225"/>
      <c r="F650" s="225"/>
      <c r="G650" s="226"/>
    </row>
    <row r="651" spans="1:7" ht="48" x14ac:dyDescent="0.2">
      <c r="A651" s="130"/>
      <c r="B651" s="89" t="s">
        <v>147</v>
      </c>
      <c r="C651" s="99"/>
      <c r="D651" s="99"/>
      <c r="E651" s="225"/>
      <c r="F651" s="225"/>
      <c r="G651" s="226"/>
    </row>
    <row r="652" spans="1:7" ht="24" x14ac:dyDescent="0.2">
      <c r="A652" s="129"/>
      <c r="B652" s="89" t="s">
        <v>217</v>
      </c>
      <c r="C652" s="99"/>
      <c r="D652" s="99"/>
      <c r="E652" s="225"/>
      <c r="F652" s="225"/>
      <c r="G652" s="226"/>
    </row>
    <row r="653" spans="1:7" ht="168" x14ac:dyDescent="0.2">
      <c r="A653" s="129"/>
      <c r="B653" s="89" t="s">
        <v>375</v>
      </c>
      <c r="C653" s="99"/>
      <c r="D653" s="99"/>
      <c r="E653" s="225"/>
      <c r="F653" s="225"/>
      <c r="G653" s="226"/>
    </row>
    <row r="654" spans="1:7" ht="48" x14ac:dyDescent="0.2">
      <c r="A654" s="129"/>
      <c r="B654" s="89" t="s">
        <v>376</v>
      </c>
      <c r="C654" s="99"/>
      <c r="D654" s="99"/>
      <c r="E654" s="225"/>
      <c r="F654" s="225"/>
      <c r="G654" s="226"/>
    </row>
    <row r="655" spans="1:7" ht="36" x14ac:dyDescent="0.2">
      <c r="A655" s="129"/>
      <c r="B655" s="89" t="s">
        <v>377</v>
      </c>
      <c r="C655" s="99"/>
      <c r="D655" s="99"/>
      <c r="E655" s="225"/>
      <c r="F655" s="225"/>
      <c r="G655" s="226"/>
    </row>
    <row r="656" spans="1:7" x14ac:dyDescent="0.2">
      <c r="A656" s="326" t="s">
        <v>489</v>
      </c>
      <c r="B656" s="256" t="s">
        <v>59</v>
      </c>
      <c r="C656" s="253"/>
      <c r="D656" s="334"/>
      <c r="E656" s="230"/>
      <c r="F656" s="199"/>
      <c r="G656" s="200"/>
    </row>
    <row r="657" spans="1:19" s="27" customFormat="1" ht="15.75" customHeight="1" x14ac:dyDescent="0.2">
      <c r="A657" s="322" t="s">
        <v>490</v>
      </c>
      <c r="B657" s="131" t="s">
        <v>177</v>
      </c>
      <c r="C657" s="106"/>
      <c r="D657" s="107"/>
      <c r="E657" s="196"/>
      <c r="F657" s="199"/>
      <c r="G657" s="200"/>
      <c r="H657" s="13"/>
      <c r="I657" s="13"/>
      <c r="J657" s="13"/>
      <c r="K657" s="13"/>
      <c r="L657" s="13"/>
      <c r="M657" s="13"/>
      <c r="N657" s="13"/>
      <c r="O657" s="13"/>
      <c r="P657" s="13"/>
      <c r="Q657" s="13"/>
      <c r="R657" s="13"/>
      <c r="S657" s="13"/>
    </row>
    <row r="658" spans="1:19" ht="38.25" x14ac:dyDescent="0.2">
      <c r="A658" s="322" t="s">
        <v>505</v>
      </c>
      <c r="B658" s="132" t="s">
        <v>485</v>
      </c>
      <c r="C658" s="106" t="s">
        <v>12</v>
      </c>
      <c r="D658" s="107">
        <v>1</v>
      </c>
      <c r="E658" s="196"/>
      <c r="F658" s="234"/>
      <c r="G658" s="218"/>
    </row>
    <row r="659" spans="1:19" ht="25.5" x14ac:dyDescent="0.2">
      <c r="A659" s="322" t="s">
        <v>421</v>
      </c>
      <c r="B659" s="135" t="s">
        <v>486</v>
      </c>
      <c r="C659" s="106" t="s">
        <v>12</v>
      </c>
      <c r="D659" s="107">
        <v>1</v>
      </c>
      <c r="E659" s="196"/>
      <c r="F659" s="234"/>
      <c r="G659" s="218"/>
    </row>
    <row r="660" spans="1:19" ht="25.5" x14ac:dyDescent="0.2">
      <c r="A660" s="322" t="s">
        <v>506</v>
      </c>
      <c r="B660" s="135" t="s">
        <v>487</v>
      </c>
      <c r="C660" s="106" t="s">
        <v>7</v>
      </c>
      <c r="D660" s="107">
        <v>6</v>
      </c>
      <c r="E660" s="196"/>
      <c r="F660" s="234"/>
      <c r="G660" s="218"/>
    </row>
    <row r="661" spans="1:19" ht="12.75" x14ac:dyDescent="0.2">
      <c r="A661" s="322"/>
      <c r="B661" s="135"/>
      <c r="C661" s="133"/>
      <c r="D661" s="134"/>
      <c r="E661" s="196"/>
      <c r="F661" s="234"/>
      <c r="G661" s="235"/>
    </row>
    <row r="662" spans="1:19" ht="12.75" x14ac:dyDescent="0.2">
      <c r="A662" s="322" t="s">
        <v>491</v>
      </c>
      <c r="B662" s="131" t="s">
        <v>178</v>
      </c>
      <c r="C662" s="136"/>
      <c r="D662" s="137"/>
      <c r="E662" s="196"/>
      <c r="F662" s="234"/>
      <c r="G662" s="218"/>
    </row>
    <row r="663" spans="1:19" ht="12" customHeight="1" x14ac:dyDescent="0.2">
      <c r="A663" s="322" t="s">
        <v>135</v>
      </c>
      <c r="B663" s="244" t="s">
        <v>318</v>
      </c>
      <c r="C663" s="106" t="s">
        <v>7</v>
      </c>
      <c r="D663" s="107">
        <v>9</v>
      </c>
      <c r="E663" s="196"/>
      <c r="F663" s="234"/>
      <c r="G663" s="218"/>
    </row>
    <row r="664" spans="1:19" ht="12" customHeight="1" x14ac:dyDescent="0.2">
      <c r="A664" s="322" t="s">
        <v>136</v>
      </c>
      <c r="B664" s="244" t="s">
        <v>308</v>
      </c>
      <c r="C664" s="106" t="s">
        <v>7</v>
      </c>
      <c r="D664" s="107">
        <v>4</v>
      </c>
      <c r="E664" s="196"/>
      <c r="F664" s="234"/>
      <c r="G664" s="218"/>
    </row>
    <row r="665" spans="1:19" ht="12" customHeight="1" x14ac:dyDescent="0.2">
      <c r="A665" s="322" t="s">
        <v>140</v>
      </c>
      <c r="B665" s="244" t="s">
        <v>309</v>
      </c>
      <c r="C665" s="106" t="s">
        <v>7</v>
      </c>
      <c r="D665" s="107">
        <v>8</v>
      </c>
      <c r="E665" s="196"/>
      <c r="F665" s="234"/>
      <c r="G665" s="218"/>
    </row>
    <row r="666" spans="1:19" ht="12" customHeight="1" x14ac:dyDescent="0.2">
      <c r="A666" s="322" t="s">
        <v>141</v>
      </c>
      <c r="B666" s="244" t="s">
        <v>338</v>
      </c>
      <c r="C666" s="106" t="s">
        <v>7</v>
      </c>
      <c r="D666" s="107">
        <v>4</v>
      </c>
      <c r="E666" s="196"/>
      <c r="F666" s="234"/>
      <c r="G666" s="218"/>
    </row>
    <row r="667" spans="1:19" ht="12" customHeight="1" x14ac:dyDescent="0.2">
      <c r="A667" s="322" t="s">
        <v>142</v>
      </c>
      <c r="B667" s="244" t="s">
        <v>319</v>
      </c>
      <c r="C667" s="106" t="s">
        <v>7</v>
      </c>
      <c r="D667" s="107">
        <v>45</v>
      </c>
      <c r="E667" s="196"/>
      <c r="F667" s="234"/>
      <c r="G667" s="218"/>
    </row>
    <row r="668" spans="1:19" ht="12" customHeight="1" x14ac:dyDescent="0.2">
      <c r="A668" s="322" t="s">
        <v>143</v>
      </c>
      <c r="B668" s="244" t="s">
        <v>317</v>
      </c>
      <c r="C668" s="106" t="s">
        <v>7</v>
      </c>
      <c r="D668" s="107">
        <v>30</v>
      </c>
      <c r="E668" s="196"/>
      <c r="F668" s="234"/>
      <c r="G668" s="218"/>
    </row>
    <row r="669" spans="1:19" ht="12" customHeight="1" x14ac:dyDescent="0.2">
      <c r="A669" s="322" t="s">
        <v>144</v>
      </c>
      <c r="B669" s="244" t="s">
        <v>344</v>
      </c>
      <c r="C669" s="106" t="s">
        <v>7</v>
      </c>
      <c r="D669" s="107">
        <v>3</v>
      </c>
      <c r="E669" s="196"/>
      <c r="F669" s="234"/>
      <c r="G669" s="218"/>
    </row>
    <row r="670" spans="1:19" ht="12" customHeight="1" x14ac:dyDescent="0.2">
      <c r="A670" s="322" t="s">
        <v>145</v>
      </c>
      <c r="B670" s="244" t="s">
        <v>345</v>
      </c>
      <c r="C670" s="106" t="s">
        <v>7</v>
      </c>
      <c r="D670" s="107">
        <v>2</v>
      </c>
      <c r="E670" s="196"/>
      <c r="F670" s="234"/>
      <c r="G670" s="218"/>
    </row>
    <row r="671" spans="1:19" ht="12" customHeight="1" x14ac:dyDescent="0.2">
      <c r="A671" s="322" t="s">
        <v>146</v>
      </c>
      <c r="B671" s="244" t="s">
        <v>310</v>
      </c>
      <c r="C671" s="106" t="s">
        <v>7</v>
      </c>
      <c r="D671" s="107">
        <v>8</v>
      </c>
      <c r="E671" s="196"/>
      <c r="F671" s="234"/>
      <c r="G671" s="218"/>
    </row>
    <row r="672" spans="1:19" ht="12" customHeight="1" x14ac:dyDescent="0.2">
      <c r="A672" s="322" t="s">
        <v>411</v>
      </c>
      <c r="B672" s="244" t="s">
        <v>311</v>
      </c>
      <c r="C672" s="106" t="s">
        <v>7</v>
      </c>
      <c r="D672" s="107">
        <v>4</v>
      </c>
      <c r="E672" s="196"/>
      <c r="F672" s="234"/>
      <c r="G672" s="218"/>
    </row>
    <row r="673" spans="1:7" ht="12" customHeight="1" x14ac:dyDescent="0.2">
      <c r="A673" s="322" t="s">
        <v>463</v>
      </c>
      <c r="B673" s="244" t="s">
        <v>312</v>
      </c>
      <c r="C673" s="106" t="s">
        <v>7</v>
      </c>
      <c r="D673" s="107">
        <v>2</v>
      </c>
      <c r="E673" s="196"/>
      <c r="F673" s="234"/>
      <c r="G673" s="218"/>
    </row>
    <row r="674" spans="1:7" ht="12" customHeight="1" x14ac:dyDescent="0.2">
      <c r="A674" s="322" t="s">
        <v>464</v>
      </c>
      <c r="B674" s="244" t="s">
        <v>313</v>
      </c>
      <c r="C674" s="106" t="s">
        <v>7</v>
      </c>
      <c r="D674" s="107">
        <v>16</v>
      </c>
      <c r="E674" s="196"/>
      <c r="F674" s="234"/>
      <c r="G674" s="218"/>
    </row>
    <row r="675" spans="1:7" ht="12" customHeight="1" x14ac:dyDescent="0.2">
      <c r="A675" s="322" t="s">
        <v>465</v>
      </c>
      <c r="B675" s="244" t="s">
        <v>314</v>
      </c>
      <c r="C675" s="106" t="s">
        <v>7</v>
      </c>
      <c r="D675" s="107">
        <v>8</v>
      </c>
      <c r="E675" s="196"/>
      <c r="F675" s="234"/>
      <c r="G675" s="218"/>
    </row>
    <row r="676" spans="1:7" ht="12" customHeight="1" x14ac:dyDescent="0.2">
      <c r="A676" s="322" t="s">
        <v>466</v>
      </c>
      <c r="B676" s="244" t="s">
        <v>548</v>
      </c>
      <c r="C676" s="106" t="s">
        <v>7</v>
      </c>
      <c r="D676" s="107">
        <v>1</v>
      </c>
      <c r="E676" s="196"/>
      <c r="F676" s="234"/>
      <c r="G676" s="218"/>
    </row>
    <row r="677" spans="1:7" ht="12" customHeight="1" x14ac:dyDescent="0.2">
      <c r="A677" s="322" t="s">
        <v>492</v>
      </c>
      <c r="B677" s="244" t="s">
        <v>315</v>
      </c>
      <c r="C677" s="106" t="s">
        <v>7</v>
      </c>
      <c r="D677" s="107">
        <v>32</v>
      </c>
      <c r="E677" s="196"/>
      <c r="F677" s="234"/>
      <c r="G677" s="218"/>
    </row>
    <row r="678" spans="1:7" ht="12" customHeight="1" x14ac:dyDescent="0.2">
      <c r="A678" s="322" t="s">
        <v>493</v>
      </c>
      <c r="B678" s="244" t="s">
        <v>507</v>
      </c>
      <c r="C678" s="106" t="s">
        <v>7</v>
      </c>
      <c r="D678" s="107">
        <v>1</v>
      </c>
      <c r="E678" s="196"/>
      <c r="F678" s="234"/>
      <c r="G678" s="218"/>
    </row>
    <row r="679" spans="1:7" ht="12" customHeight="1" x14ac:dyDescent="0.2">
      <c r="A679" s="322" t="s">
        <v>494</v>
      </c>
      <c r="B679" s="244" t="s">
        <v>346</v>
      </c>
      <c r="C679" s="106" t="s">
        <v>7</v>
      </c>
      <c r="D679" s="107">
        <v>10</v>
      </c>
      <c r="E679" s="196"/>
      <c r="F679" s="234"/>
      <c r="G679" s="218"/>
    </row>
    <row r="680" spans="1:7" ht="12" customHeight="1" x14ac:dyDescent="0.2">
      <c r="A680" s="322" t="s">
        <v>495</v>
      </c>
      <c r="B680" s="244" t="s">
        <v>347</v>
      </c>
      <c r="C680" s="106" t="s">
        <v>7</v>
      </c>
      <c r="D680" s="107">
        <v>4</v>
      </c>
      <c r="E680" s="196"/>
      <c r="F680" s="234"/>
      <c r="G680" s="218"/>
    </row>
    <row r="681" spans="1:7" ht="12" customHeight="1" x14ac:dyDescent="0.2">
      <c r="A681" s="322" t="s">
        <v>496</v>
      </c>
      <c r="B681" s="244" t="s">
        <v>316</v>
      </c>
      <c r="C681" s="106" t="s">
        <v>7</v>
      </c>
      <c r="D681" s="107">
        <v>4</v>
      </c>
      <c r="E681" s="196"/>
      <c r="F681" s="234"/>
      <c r="G681" s="218"/>
    </row>
    <row r="682" spans="1:7" ht="12" customHeight="1" x14ac:dyDescent="0.2">
      <c r="A682" s="322" t="s">
        <v>497</v>
      </c>
      <c r="B682" s="244" t="s">
        <v>549</v>
      </c>
      <c r="C682" s="106" t="s">
        <v>7</v>
      </c>
      <c r="D682" s="107">
        <v>16</v>
      </c>
      <c r="E682" s="196"/>
      <c r="F682" s="234"/>
      <c r="G682" s="218"/>
    </row>
    <row r="683" spans="1:7" ht="12" customHeight="1" x14ac:dyDescent="0.2">
      <c r="A683" s="322" t="s">
        <v>498</v>
      </c>
      <c r="B683" s="244" t="s">
        <v>508</v>
      </c>
      <c r="C683" s="106" t="s">
        <v>7</v>
      </c>
      <c r="D683" s="107">
        <v>1</v>
      </c>
      <c r="E683" s="196"/>
      <c r="F683" s="234"/>
      <c r="G683" s="218"/>
    </row>
    <row r="684" spans="1:7" ht="12" customHeight="1" x14ac:dyDescent="0.2">
      <c r="A684" s="322" t="s">
        <v>500</v>
      </c>
      <c r="B684" s="244" t="s">
        <v>537</v>
      </c>
      <c r="C684" s="106" t="s">
        <v>7</v>
      </c>
      <c r="D684" s="107">
        <v>1</v>
      </c>
      <c r="E684" s="196"/>
      <c r="F684" s="234"/>
      <c r="G684" s="218"/>
    </row>
    <row r="685" spans="1:7" ht="12" customHeight="1" x14ac:dyDescent="0.2">
      <c r="A685" s="322" t="s">
        <v>400</v>
      </c>
      <c r="B685" s="244" t="s">
        <v>348</v>
      </c>
      <c r="C685" s="106" t="s">
        <v>7</v>
      </c>
      <c r="D685" s="107">
        <v>6</v>
      </c>
      <c r="E685" s="196"/>
      <c r="F685" s="234"/>
      <c r="G685" s="218"/>
    </row>
    <row r="686" spans="1:7" ht="12.75" x14ac:dyDescent="0.2">
      <c r="A686" s="322" t="s">
        <v>499</v>
      </c>
      <c r="B686" s="131" t="s">
        <v>179</v>
      </c>
      <c r="C686" s="136"/>
      <c r="D686" s="137"/>
      <c r="E686" s="196"/>
      <c r="F686" s="234"/>
      <c r="G686" s="218"/>
    </row>
    <row r="687" spans="1:7" ht="13.5" x14ac:dyDescent="0.2">
      <c r="A687" s="129" t="s">
        <v>135</v>
      </c>
      <c r="B687" s="101" t="s">
        <v>197</v>
      </c>
      <c r="C687" s="124" t="s">
        <v>180</v>
      </c>
      <c r="D687" s="52">
        <v>135</v>
      </c>
      <c r="E687" s="196"/>
      <c r="F687" s="234"/>
      <c r="G687" s="218"/>
    </row>
    <row r="688" spans="1:7" ht="13.5" x14ac:dyDescent="0.2">
      <c r="A688" s="129" t="s">
        <v>136</v>
      </c>
      <c r="B688" s="101" t="s">
        <v>196</v>
      </c>
      <c r="C688" s="124" t="s">
        <v>180</v>
      </c>
      <c r="D688" s="52">
        <v>52</v>
      </c>
      <c r="E688" s="196"/>
      <c r="F688" s="234"/>
      <c r="G688" s="218"/>
    </row>
    <row r="689" spans="1:7" ht="13.5" x14ac:dyDescent="0.2">
      <c r="A689" s="129" t="s">
        <v>140</v>
      </c>
      <c r="B689" s="101" t="s">
        <v>198</v>
      </c>
      <c r="C689" s="124" t="s">
        <v>180</v>
      </c>
      <c r="D689" s="52">
        <v>6</v>
      </c>
      <c r="E689" s="196"/>
      <c r="F689" s="234"/>
      <c r="G689" s="218"/>
    </row>
    <row r="690" spans="1:7" ht="27" customHeight="1" x14ac:dyDescent="0.2">
      <c r="A690" s="328" t="s">
        <v>141</v>
      </c>
      <c r="B690" s="329" t="s">
        <v>519</v>
      </c>
      <c r="C690" s="124" t="s">
        <v>180</v>
      </c>
      <c r="D690" s="52">
        <v>8</v>
      </c>
      <c r="E690" s="330"/>
      <c r="F690" s="331"/>
      <c r="G690" s="332"/>
    </row>
    <row r="691" spans="1:7" x14ac:dyDescent="0.2">
      <c r="A691" s="129" t="s">
        <v>142</v>
      </c>
      <c r="B691" s="101" t="s">
        <v>520</v>
      </c>
      <c r="C691" s="124" t="s">
        <v>180</v>
      </c>
      <c r="D691" s="52">
        <v>16</v>
      </c>
      <c r="E691" s="196"/>
      <c r="F691" s="234"/>
      <c r="G691" s="218"/>
    </row>
    <row r="692" spans="1:7" ht="24" x14ac:dyDescent="0.2">
      <c r="A692" s="129" t="s">
        <v>143</v>
      </c>
      <c r="B692" s="101" t="s">
        <v>521</v>
      </c>
      <c r="C692" s="124" t="s">
        <v>180</v>
      </c>
      <c r="D692" s="52">
        <v>1</v>
      </c>
      <c r="E692" s="196"/>
      <c r="F692" s="234"/>
      <c r="G692" s="218"/>
    </row>
    <row r="693" spans="1:7" x14ac:dyDescent="0.2">
      <c r="A693" s="129"/>
      <c r="B693" s="101"/>
      <c r="C693" s="124"/>
      <c r="D693" s="52"/>
      <c r="E693" s="196"/>
      <c r="F693" s="199"/>
      <c r="G693" s="218"/>
    </row>
    <row r="694" spans="1:7" ht="12.75" customHeight="1" x14ac:dyDescent="0.2">
      <c r="A694" s="326" t="s">
        <v>502</v>
      </c>
      <c r="B694" s="256" t="s">
        <v>60</v>
      </c>
      <c r="C694" s="253"/>
      <c r="D694" s="334"/>
      <c r="E694" s="230"/>
      <c r="F694" s="199"/>
      <c r="G694" s="200"/>
    </row>
    <row r="695" spans="1:7" ht="12.75" customHeight="1" x14ac:dyDescent="0.2">
      <c r="A695" s="322" t="s">
        <v>503</v>
      </c>
      <c r="B695" s="131" t="s">
        <v>177</v>
      </c>
      <c r="C695" s="106"/>
      <c r="D695" s="107"/>
      <c r="E695" s="196"/>
      <c r="F695" s="199"/>
      <c r="G695" s="200"/>
    </row>
    <row r="696" spans="1:7" ht="28.5" customHeight="1" x14ac:dyDescent="0.2">
      <c r="A696" s="322" t="s">
        <v>505</v>
      </c>
      <c r="B696" s="135" t="s">
        <v>501</v>
      </c>
      <c r="C696" s="106" t="s">
        <v>7</v>
      </c>
      <c r="D696" s="107">
        <v>7</v>
      </c>
      <c r="E696" s="196"/>
      <c r="F696" s="234"/>
      <c r="G696" s="218"/>
    </row>
    <row r="697" spans="1:7" ht="12.75" customHeight="1" x14ac:dyDescent="0.2">
      <c r="A697" s="322" t="s">
        <v>504</v>
      </c>
      <c r="B697" s="131" t="s">
        <v>178</v>
      </c>
      <c r="C697" s="136"/>
      <c r="D697" s="137"/>
      <c r="E697" s="196"/>
      <c r="F697" s="234"/>
      <c r="G697" s="218"/>
    </row>
    <row r="698" spans="1:7" ht="12.75" customHeight="1" x14ac:dyDescent="0.2">
      <c r="A698" s="322" t="s">
        <v>135</v>
      </c>
      <c r="B698" s="135" t="s">
        <v>318</v>
      </c>
      <c r="C698" s="106" t="s">
        <v>7</v>
      </c>
      <c r="D698" s="107">
        <v>9</v>
      </c>
      <c r="E698" s="196"/>
      <c r="F698" s="234"/>
      <c r="G698" s="218"/>
    </row>
    <row r="699" spans="1:7" ht="12.75" customHeight="1" x14ac:dyDescent="0.2">
      <c r="A699" s="322" t="s">
        <v>136</v>
      </c>
      <c r="B699" s="135" t="s">
        <v>308</v>
      </c>
      <c r="C699" s="106" t="s">
        <v>7</v>
      </c>
      <c r="D699" s="107">
        <v>4</v>
      </c>
      <c r="E699" s="196"/>
      <c r="F699" s="234"/>
      <c r="G699" s="218"/>
    </row>
    <row r="700" spans="1:7" ht="12.75" customHeight="1" x14ac:dyDescent="0.2">
      <c r="A700" s="322" t="s">
        <v>140</v>
      </c>
      <c r="B700" s="135" t="s">
        <v>309</v>
      </c>
      <c r="C700" s="106" t="s">
        <v>7</v>
      </c>
      <c r="D700" s="107">
        <v>8</v>
      </c>
      <c r="E700" s="196"/>
      <c r="F700" s="234"/>
      <c r="G700" s="218"/>
    </row>
    <row r="701" spans="1:7" ht="12.75" customHeight="1" x14ac:dyDescent="0.2">
      <c r="A701" s="322" t="s">
        <v>141</v>
      </c>
      <c r="B701" s="135" t="s">
        <v>338</v>
      </c>
      <c r="C701" s="106" t="s">
        <v>7</v>
      </c>
      <c r="D701" s="107">
        <v>4</v>
      </c>
      <c r="E701" s="196"/>
      <c r="F701" s="234"/>
      <c r="G701" s="218"/>
    </row>
    <row r="702" spans="1:7" ht="12.75" customHeight="1" x14ac:dyDescent="0.2">
      <c r="A702" s="322" t="s">
        <v>142</v>
      </c>
      <c r="B702" s="135" t="s">
        <v>319</v>
      </c>
      <c r="C702" s="106" t="s">
        <v>7</v>
      </c>
      <c r="D702" s="107">
        <v>45</v>
      </c>
      <c r="E702" s="196"/>
      <c r="F702" s="234"/>
      <c r="G702" s="218"/>
    </row>
    <row r="703" spans="1:7" ht="12.75" customHeight="1" x14ac:dyDescent="0.2">
      <c r="A703" s="322" t="s">
        <v>143</v>
      </c>
      <c r="B703" s="135" t="s">
        <v>538</v>
      </c>
      <c r="C703" s="106" t="s">
        <v>7</v>
      </c>
      <c r="D703" s="107">
        <v>2</v>
      </c>
      <c r="E703" s="196"/>
      <c r="F703" s="234"/>
      <c r="G703" s="218"/>
    </row>
    <row r="704" spans="1:7" ht="12.75" customHeight="1" x14ac:dyDescent="0.2">
      <c r="A704" s="322" t="s">
        <v>144</v>
      </c>
      <c r="B704" s="135" t="s">
        <v>317</v>
      </c>
      <c r="C704" s="106" t="s">
        <v>7</v>
      </c>
      <c r="D704" s="107">
        <v>30</v>
      </c>
      <c r="E704" s="196"/>
      <c r="F704" s="234"/>
      <c r="G704" s="218"/>
    </row>
    <row r="705" spans="1:7" ht="12.75" customHeight="1" x14ac:dyDescent="0.2">
      <c r="A705" s="322" t="s">
        <v>145</v>
      </c>
      <c r="B705" s="135" t="s">
        <v>344</v>
      </c>
      <c r="C705" s="133" t="s">
        <v>7</v>
      </c>
      <c r="D705" s="107">
        <v>2</v>
      </c>
      <c r="E705" s="196"/>
      <c r="F705" s="234"/>
      <c r="G705" s="218"/>
    </row>
    <row r="706" spans="1:7" ht="12.75" customHeight="1" x14ac:dyDescent="0.2">
      <c r="A706" s="322" t="s">
        <v>146</v>
      </c>
      <c r="B706" s="135" t="s">
        <v>345</v>
      </c>
      <c r="C706" s="133" t="s">
        <v>7</v>
      </c>
      <c r="D706" s="107">
        <v>2</v>
      </c>
      <c r="E706" s="196"/>
      <c r="F706" s="234"/>
      <c r="G706" s="218"/>
    </row>
    <row r="707" spans="1:7" ht="12.75" customHeight="1" x14ac:dyDescent="0.2">
      <c r="A707" s="322" t="s">
        <v>411</v>
      </c>
      <c r="B707" s="135" t="s">
        <v>310</v>
      </c>
      <c r="C707" s="133" t="s">
        <v>7</v>
      </c>
      <c r="D707" s="107">
        <v>6</v>
      </c>
      <c r="E707" s="196"/>
      <c r="F707" s="234"/>
      <c r="G707" s="218"/>
    </row>
    <row r="708" spans="1:7" ht="12.75" customHeight="1" x14ac:dyDescent="0.2">
      <c r="A708" s="322" t="s">
        <v>463</v>
      </c>
      <c r="B708" s="135" t="s">
        <v>311</v>
      </c>
      <c r="C708" s="133" t="s">
        <v>7</v>
      </c>
      <c r="D708" s="107">
        <v>3</v>
      </c>
      <c r="E708" s="196"/>
      <c r="F708" s="234"/>
      <c r="G708" s="218"/>
    </row>
    <row r="709" spans="1:7" ht="12.75" customHeight="1" x14ac:dyDescent="0.2">
      <c r="A709" s="322" t="s">
        <v>464</v>
      </c>
      <c r="B709" s="135" t="s">
        <v>312</v>
      </c>
      <c r="C709" s="106" t="s">
        <v>7</v>
      </c>
      <c r="D709" s="107">
        <v>2</v>
      </c>
      <c r="E709" s="196"/>
      <c r="F709" s="234"/>
      <c r="G709" s="218"/>
    </row>
    <row r="710" spans="1:7" ht="12.75" customHeight="1" x14ac:dyDescent="0.2">
      <c r="A710" s="322" t="s">
        <v>465</v>
      </c>
      <c r="B710" s="135" t="s">
        <v>313</v>
      </c>
      <c r="C710" s="106" t="s">
        <v>7</v>
      </c>
      <c r="D710" s="107">
        <v>16</v>
      </c>
      <c r="E710" s="196"/>
      <c r="F710" s="234"/>
      <c r="G710" s="218"/>
    </row>
    <row r="711" spans="1:7" ht="12.75" customHeight="1" x14ac:dyDescent="0.2">
      <c r="A711" s="322" t="s">
        <v>466</v>
      </c>
      <c r="B711" s="135" t="s">
        <v>314</v>
      </c>
      <c r="C711" s="106" t="s">
        <v>7</v>
      </c>
      <c r="D711" s="107">
        <v>11</v>
      </c>
      <c r="E711" s="196"/>
      <c r="F711" s="234"/>
      <c r="G711" s="218"/>
    </row>
    <row r="712" spans="1:7" ht="12.75" customHeight="1" x14ac:dyDescent="0.2">
      <c r="A712" s="322" t="s">
        <v>492</v>
      </c>
      <c r="B712" s="135" t="s">
        <v>548</v>
      </c>
      <c r="C712" s="106" t="s">
        <v>7</v>
      </c>
      <c r="D712" s="107">
        <v>1</v>
      </c>
      <c r="E712" s="196"/>
      <c r="F712" s="234"/>
      <c r="G712" s="218"/>
    </row>
    <row r="713" spans="1:7" ht="12.75" customHeight="1" x14ac:dyDescent="0.2">
      <c r="A713" s="322" t="s">
        <v>493</v>
      </c>
      <c r="B713" s="135" t="s">
        <v>315</v>
      </c>
      <c r="C713" s="106" t="s">
        <v>7</v>
      </c>
      <c r="D713" s="107">
        <v>29</v>
      </c>
      <c r="E713" s="196"/>
      <c r="F713" s="234"/>
      <c r="G713" s="218"/>
    </row>
    <row r="714" spans="1:7" ht="12.75" customHeight="1" x14ac:dyDescent="0.2">
      <c r="A714" s="322" t="s">
        <v>494</v>
      </c>
      <c r="B714" s="135" t="s">
        <v>346</v>
      </c>
      <c r="C714" s="106" t="s">
        <v>7</v>
      </c>
      <c r="D714" s="107">
        <v>10</v>
      </c>
      <c r="E714" s="196"/>
      <c r="F714" s="234"/>
      <c r="G714" s="218"/>
    </row>
    <row r="715" spans="1:7" ht="12.75" customHeight="1" x14ac:dyDescent="0.2">
      <c r="A715" s="322" t="s">
        <v>495</v>
      </c>
      <c r="B715" s="135" t="s">
        <v>347</v>
      </c>
      <c r="C715" s="106" t="s">
        <v>7</v>
      </c>
      <c r="D715" s="107">
        <v>5</v>
      </c>
      <c r="E715" s="196"/>
      <c r="F715" s="234"/>
      <c r="G715" s="218"/>
    </row>
    <row r="716" spans="1:7" ht="12.75" customHeight="1" x14ac:dyDescent="0.2">
      <c r="A716" s="322" t="s">
        <v>496</v>
      </c>
      <c r="B716" s="135" t="s">
        <v>316</v>
      </c>
      <c r="C716" s="106" t="s">
        <v>7</v>
      </c>
      <c r="D716" s="107">
        <v>6</v>
      </c>
      <c r="E716" s="196"/>
      <c r="F716" s="234"/>
      <c r="G716" s="218"/>
    </row>
    <row r="717" spans="1:7" ht="12.75" customHeight="1" x14ac:dyDescent="0.2">
      <c r="A717" s="322" t="s">
        <v>497</v>
      </c>
      <c r="B717" s="135" t="s">
        <v>549</v>
      </c>
      <c r="C717" s="106" t="s">
        <v>7</v>
      </c>
      <c r="D717" s="107">
        <v>20</v>
      </c>
      <c r="E717" s="196"/>
      <c r="F717" s="234"/>
      <c r="G717" s="218"/>
    </row>
    <row r="718" spans="1:7" ht="12.75" customHeight="1" x14ac:dyDescent="0.2">
      <c r="A718" s="322" t="s">
        <v>498</v>
      </c>
      <c r="B718" s="135" t="s">
        <v>348</v>
      </c>
      <c r="C718" s="106" t="s">
        <v>7</v>
      </c>
      <c r="D718" s="107">
        <v>5</v>
      </c>
      <c r="E718" s="196"/>
      <c r="F718" s="234"/>
      <c r="G718" s="218"/>
    </row>
    <row r="719" spans="1:7" ht="12.75" customHeight="1" x14ac:dyDescent="0.2">
      <c r="A719" s="322" t="s">
        <v>504</v>
      </c>
      <c r="B719" s="131" t="s">
        <v>179</v>
      </c>
      <c r="C719" s="136"/>
      <c r="D719" s="137"/>
      <c r="E719" s="196"/>
      <c r="F719" s="234"/>
      <c r="G719" s="218"/>
    </row>
    <row r="720" spans="1:7" ht="12.75" customHeight="1" x14ac:dyDescent="0.2">
      <c r="A720" s="129" t="s">
        <v>135</v>
      </c>
      <c r="B720" s="101" t="s">
        <v>197</v>
      </c>
      <c r="C720" s="124" t="s">
        <v>180</v>
      </c>
      <c r="D720" s="52">
        <v>133</v>
      </c>
      <c r="E720" s="196"/>
      <c r="F720" s="234"/>
      <c r="G720" s="218"/>
    </row>
    <row r="721" spans="1:9" ht="12.75" customHeight="1" x14ac:dyDescent="0.2">
      <c r="A721" s="129" t="s">
        <v>136</v>
      </c>
      <c r="B721" s="101" t="s">
        <v>196</v>
      </c>
      <c r="C721" s="124" t="s">
        <v>180</v>
      </c>
      <c r="D721" s="52">
        <v>51</v>
      </c>
      <c r="E721" s="196"/>
      <c r="F721" s="234"/>
      <c r="G721" s="218"/>
    </row>
    <row r="722" spans="1:9" ht="12.75" customHeight="1" x14ac:dyDescent="0.2">
      <c r="A722" s="129" t="s">
        <v>140</v>
      </c>
      <c r="B722" s="101" t="s">
        <v>198</v>
      </c>
      <c r="C722" s="124" t="s">
        <v>180</v>
      </c>
      <c r="D722" s="52">
        <v>7</v>
      </c>
      <c r="E722" s="196"/>
      <c r="F722" s="234"/>
      <c r="G722" s="218"/>
    </row>
    <row r="723" spans="1:9" ht="22.5" customHeight="1" x14ac:dyDescent="0.2">
      <c r="A723" s="129" t="s">
        <v>141</v>
      </c>
      <c r="B723" s="101" t="s">
        <v>519</v>
      </c>
      <c r="C723" s="124" t="s">
        <v>180</v>
      </c>
      <c r="D723" s="52">
        <v>10</v>
      </c>
      <c r="E723" s="196"/>
      <c r="F723" s="234"/>
      <c r="G723" s="218"/>
    </row>
    <row r="724" spans="1:9" ht="12.75" customHeight="1" x14ac:dyDescent="0.2">
      <c r="A724" s="129" t="s">
        <v>142</v>
      </c>
      <c r="B724" s="101" t="s">
        <v>520</v>
      </c>
      <c r="C724" s="124" t="s">
        <v>180</v>
      </c>
      <c r="D724" s="52">
        <v>20</v>
      </c>
      <c r="E724" s="196"/>
      <c r="F724" s="234"/>
      <c r="G724" s="218"/>
    </row>
    <row r="725" spans="1:9" ht="24" x14ac:dyDescent="0.2">
      <c r="A725" s="129" t="s">
        <v>143</v>
      </c>
      <c r="B725" s="101" t="s">
        <v>521</v>
      </c>
      <c r="C725" s="124" t="s">
        <v>180</v>
      </c>
      <c r="D725" s="52">
        <v>5</v>
      </c>
      <c r="E725" s="196"/>
      <c r="F725" s="234"/>
      <c r="G725" s="218"/>
    </row>
    <row r="726" spans="1:9" ht="12.75" customHeight="1" thickBot="1" x14ac:dyDescent="0.25">
      <c r="A726" s="322"/>
      <c r="B726" s="135"/>
      <c r="C726" s="133"/>
      <c r="D726" s="134"/>
      <c r="E726" s="196"/>
      <c r="F726" s="234"/>
      <c r="G726" s="218"/>
    </row>
    <row r="727" spans="1:9" x14ac:dyDescent="0.2">
      <c r="A727" s="319"/>
      <c r="B727" s="172" t="s">
        <v>148</v>
      </c>
      <c r="C727" s="280"/>
      <c r="D727" s="281"/>
      <c r="E727" s="282"/>
      <c r="F727" s="266"/>
      <c r="G727" s="267"/>
    </row>
    <row r="728" spans="1:9" ht="12.75" thickBot="1" x14ac:dyDescent="0.25">
      <c r="A728" s="320"/>
      <c r="B728" s="141" t="s">
        <v>113</v>
      </c>
      <c r="C728" s="283"/>
      <c r="D728" s="284"/>
      <c r="E728" s="285"/>
      <c r="F728" s="268"/>
      <c r="G728" s="269"/>
      <c r="I728" s="38"/>
    </row>
    <row r="729" spans="1:9" x14ac:dyDescent="0.2">
      <c r="A729" s="138"/>
      <c r="B729" s="98" t="s">
        <v>247</v>
      </c>
      <c r="C729" s="51"/>
      <c r="D729" s="96"/>
      <c r="E729" s="196"/>
      <c r="F729" s="199"/>
      <c r="G729" s="200"/>
    </row>
    <row r="730" spans="1:9" x14ac:dyDescent="0.2">
      <c r="A730" s="138"/>
      <c r="B730" s="67" t="s">
        <v>349</v>
      </c>
      <c r="C730" s="51"/>
      <c r="D730" s="96"/>
      <c r="E730" s="196"/>
      <c r="F730" s="199"/>
      <c r="G730" s="200"/>
    </row>
    <row r="731" spans="1:9" s="242" customFormat="1" x14ac:dyDescent="0.2">
      <c r="A731" s="291" t="s">
        <v>509</v>
      </c>
      <c r="B731" s="255" t="s">
        <v>350</v>
      </c>
      <c r="C731" s="102"/>
      <c r="D731" s="257"/>
      <c r="E731" s="196"/>
      <c r="F731" s="199"/>
      <c r="G731" s="200"/>
    </row>
    <row r="732" spans="1:9" ht="72" x14ac:dyDescent="0.2">
      <c r="A732" s="138"/>
      <c r="B732" s="101" t="s">
        <v>351</v>
      </c>
      <c r="C732" s="124"/>
      <c r="D732" s="96"/>
      <c r="E732" s="196"/>
      <c r="F732" s="199"/>
      <c r="G732" s="200"/>
    </row>
    <row r="733" spans="1:9" ht="36" x14ac:dyDescent="0.2">
      <c r="A733" s="138"/>
      <c r="B733" s="101" t="s">
        <v>352</v>
      </c>
      <c r="C733" s="124"/>
      <c r="D733" s="96"/>
      <c r="E733" s="196"/>
      <c r="F733" s="199"/>
      <c r="G733" s="200"/>
    </row>
    <row r="734" spans="1:9" ht="24" x14ac:dyDescent="0.2">
      <c r="A734" s="138"/>
      <c r="B734" s="101" t="s">
        <v>353</v>
      </c>
      <c r="C734" s="124"/>
      <c r="D734" s="96"/>
      <c r="E734" s="196"/>
      <c r="F734" s="199"/>
      <c r="G734" s="200"/>
    </row>
    <row r="735" spans="1:9" ht="48" x14ac:dyDescent="0.2">
      <c r="A735" s="138"/>
      <c r="B735" s="101" t="s">
        <v>354</v>
      </c>
      <c r="C735" s="124"/>
      <c r="D735" s="96"/>
      <c r="E735" s="196"/>
      <c r="F735" s="199"/>
      <c r="G735" s="200"/>
    </row>
    <row r="736" spans="1:9" ht="24" x14ac:dyDescent="0.2">
      <c r="A736" s="138"/>
      <c r="B736" s="101" t="s">
        <v>378</v>
      </c>
      <c r="C736" s="124"/>
      <c r="D736" s="96"/>
      <c r="E736" s="196"/>
      <c r="F736" s="199"/>
      <c r="G736" s="200"/>
    </row>
    <row r="737" spans="1:7" x14ac:dyDescent="0.2">
      <c r="A737" s="138" t="s">
        <v>510</v>
      </c>
      <c r="B737" s="292" t="s">
        <v>355</v>
      </c>
      <c r="C737" s="293"/>
      <c r="D737" s="294"/>
      <c r="E737" s="230"/>
      <c r="F737" s="217"/>
      <c r="G737" s="218"/>
    </row>
    <row r="738" spans="1:7" ht="24" x14ac:dyDescent="0.2">
      <c r="A738" s="138"/>
      <c r="B738" s="101" t="s">
        <v>356</v>
      </c>
      <c r="C738" s="124"/>
      <c r="D738" s="96"/>
      <c r="E738" s="196"/>
      <c r="F738" s="199"/>
      <c r="G738" s="200"/>
    </row>
    <row r="739" spans="1:7" x14ac:dyDescent="0.2">
      <c r="A739" s="291" t="s">
        <v>511</v>
      </c>
      <c r="B739" s="333" t="s">
        <v>59</v>
      </c>
      <c r="C739" s="257"/>
      <c r="D739" s="96"/>
      <c r="E739" s="230"/>
      <c r="F739" s="217"/>
      <c r="G739" s="218"/>
    </row>
    <row r="740" spans="1:7" x14ac:dyDescent="0.2">
      <c r="A740" s="297" t="s">
        <v>512</v>
      </c>
      <c r="B740" s="296" t="s">
        <v>379</v>
      </c>
      <c r="C740" s="96"/>
      <c r="D740" s="96"/>
      <c r="E740" s="230"/>
      <c r="F740" s="217"/>
      <c r="G740" s="218"/>
    </row>
    <row r="741" spans="1:7" x14ac:dyDescent="0.2">
      <c r="A741" s="297" t="s">
        <v>135</v>
      </c>
      <c r="B741" s="101" t="s">
        <v>359</v>
      </c>
      <c r="C741" s="124" t="s">
        <v>99</v>
      </c>
      <c r="D741" s="96">
        <v>1</v>
      </c>
      <c r="E741" s="196"/>
      <c r="F741" s="199"/>
      <c r="G741" s="218"/>
    </row>
    <row r="742" spans="1:7" x14ac:dyDescent="0.2">
      <c r="A742" s="297" t="s">
        <v>136</v>
      </c>
      <c r="B742" s="101" t="s">
        <v>360</v>
      </c>
      <c r="C742" s="124" t="s">
        <v>99</v>
      </c>
      <c r="D742" s="96">
        <v>7</v>
      </c>
      <c r="E742" s="196"/>
      <c r="F742" s="199"/>
      <c r="G742" s="218"/>
    </row>
    <row r="743" spans="1:7" x14ac:dyDescent="0.2">
      <c r="A743" s="297" t="s">
        <v>140</v>
      </c>
      <c r="B743" s="101" t="s">
        <v>361</v>
      </c>
      <c r="C743" s="124" t="s">
        <v>99</v>
      </c>
      <c r="D743" s="96">
        <v>1</v>
      </c>
      <c r="E743" s="196"/>
      <c r="F743" s="199"/>
      <c r="G743" s="218"/>
    </row>
    <row r="744" spans="1:7" x14ac:dyDescent="0.2">
      <c r="A744" s="297" t="s">
        <v>141</v>
      </c>
      <c r="B744" s="101" t="s">
        <v>362</v>
      </c>
      <c r="C744" s="124" t="s">
        <v>99</v>
      </c>
      <c r="D744" s="96">
        <v>1</v>
      </c>
      <c r="E744" s="196"/>
      <c r="F744" s="199"/>
      <c r="G744" s="218"/>
    </row>
    <row r="745" spans="1:7" x14ac:dyDescent="0.2">
      <c r="A745" s="297" t="s">
        <v>142</v>
      </c>
      <c r="B745" s="101" t="s">
        <v>363</v>
      </c>
      <c r="C745" s="124" t="s">
        <v>99</v>
      </c>
      <c r="D745" s="96">
        <v>10</v>
      </c>
      <c r="E745" s="196"/>
      <c r="F745" s="199"/>
      <c r="G745" s="218"/>
    </row>
    <row r="746" spans="1:7" x14ac:dyDescent="0.2">
      <c r="A746" s="297" t="s">
        <v>143</v>
      </c>
      <c r="B746" s="101" t="s">
        <v>364</v>
      </c>
      <c r="C746" s="124" t="s">
        <v>99</v>
      </c>
      <c r="D746" s="96">
        <v>1</v>
      </c>
      <c r="E746" s="196"/>
      <c r="F746" s="199"/>
      <c r="G746" s="218"/>
    </row>
    <row r="747" spans="1:7" x14ac:dyDescent="0.2">
      <c r="A747" s="297" t="s">
        <v>513</v>
      </c>
      <c r="B747" s="296" t="s">
        <v>349</v>
      </c>
      <c r="C747" s="96"/>
      <c r="D747" s="96"/>
      <c r="E747" s="230"/>
      <c r="F747" s="217"/>
      <c r="G747" s="218"/>
    </row>
    <row r="748" spans="1:7" ht="24" x14ac:dyDescent="0.2">
      <c r="A748" s="297" t="s">
        <v>135</v>
      </c>
      <c r="B748" s="101" t="s">
        <v>357</v>
      </c>
      <c r="C748" s="124" t="s">
        <v>99</v>
      </c>
      <c r="D748" s="96">
        <v>2</v>
      </c>
      <c r="E748" s="196"/>
      <c r="F748" s="199"/>
      <c r="G748" s="218"/>
    </row>
    <row r="749" spans="1:7" ht="24" x14ac:dyDescent="0.2">
      <c r="A749" s="297" t="s">
        <v>136</v>
      </c>
      <c r="B749" s="101" t="s">
        <v>358</v>
      </c>
      <c r="C749" s="124" t="s">
        <v>99</v>
      </c>
      <c r="D749" s="96">
        <v>2</v>
      </c>
      <c r="E749" s="196"/>
      <c r="F749" s="199"/>
      <c r="G749" s="218"/>
    </row>
    <row r="750" spans="1:7" x14ac:dyDescent="0.2">
      <c r="A750" s="291" t="s">
        <v>514</v>
      </c>
      <c r="B750" s="333" t="s">
        <v>60</v>
      </c>
      <c r="C750" s="258"/>
      <c r="D750" s="334"/>
      <c r="E750" s="230"/>
      <c r="F750" s="217"/>
      <c r="G750" s="218"/>
    </row>
    <row r="751" spans="1:7" x14ac:dyDescent="0.2">
      <c r="A751" s="295" t="s">
        <v>515</v>
      </c>
      <c r="B751" s="296" t="s">
        <v>355</v>
      </c>
      <c r="C751" s="293"/>
      <c r="D751" s="294"/>
      <c r="E751" s="230"/>
      <c r="F751" s="228"/>
      <c r="G751" s="218"/>
    </row>
    <row r="752" spans="1:7" x14ac:dyDescent="0.2">
      <c r="A752" s="138" t="s">
        <v>135</v>
      </c>
      <c r="B752" s="101" t="s">
        <v>359</v>
      </c>
      <c r="C752" s="124" t="s">
        <v>99</v>
      </c>
      <c r="D752" s="96">
        <v>1</v>
      </c>
      <c r="E752" s="196"/>
      <c r="F752" s="199"/>
      <c r="G752" s="218"/>
    </row>
    <row r="753" spans="1:7" x14ac:dyDescent="0.2">
      <c r="A753" s="138" t="s">
        <v>136</v>
      </c>
      <c r="B753" s="101" t="s">
        <v>360</v>
      </c>
      <c r="C753" s="124" t="s">
        <v>99</v>
      </c>
      <c r="D753" s="96">
        <v>7</v>
      </c>
      <c r="E753" s="196"/>
      <c r="F753" s="199"/>
      <c r="G753" s="218"/>
    </row>
    <row r="754" spans="1:7" x14ac:dyDescent="0.2">
      <c r="A754" s="138" t="s">
        <v>140</v>
      </c>
      <c r="B754" s="101" t="s">
        <v>361</v>
      </c>
      <c r="C754" s="124" t="s">
        <v>99</v>
      </c>
      <c r="D754" s="96">
        <v>1</v>
      </c>
      <c r="E754" s="196"/>
      <c r="F754" s="199"/>
      <c r="G754" s="218"/>
    </row>
    <row r="755" spans="1:7" x14ac:dyDescent="0.2">
      <c r="A755" s="138" t="s">
        <v>141</v>
      </c>
      <c r="B755" s="101" t="s">
        <v>362</v>
      </c>
      <c r="C755" s="124" t="s">
        <v>99</v>
      </c>
      <c r="D755" s="96">
        <v>1</v>
      </c>
      <c r="E755" s="196"/>
      <c r="F755" s="199"/>
      <c r="G755" s="218"/>
    </row>
    <row r="756" spans="1:7" x14ac:dyDescent="0.2">
      <c r="A756" s="138" t="s">
        <v>142</v>
      </c>
      <c r="B756" s="101" t="s">
        <v>363</v>
      </c>
      <c r="C756" s="124" t="s">
        <v>99</v>
      </c>
      <c r="D756" s="96">
        <v>10</v>
      </c>
      <c r="E756" s="196"/>
      <c r="F756" s="199"/>
      <c r="G756" s="218"/>
    </row>
    <row r="757" spans="1:7" x14ac:dyDescent="0.2">
      <c r="A757" s="297" t="s">
        <v>516</v>
      </c>
      <c r="B757" s="296" t="s">
        <v>349</v>
      </c>
      <c r="C757" s="96"/>
      <c r="D757" s="96"/>
      <c r="E757" s="230"/>
      <c r="F757" s="217"/>
      <c r="G757" s="218"/>
    </row>
    <row r="758" spans="1:7" ht="24" x14ac:dyDescent="0.2">
      <c r="A758" s="297" t="s">
        <v>135</v>
      </c>
      <c r="B758" s="101" t="s">
        <v>357</v>
      </c>
      <c r="C758" s="124" t="s">
        <v>99</v>
      </c>
      <c r="D758" s="96">
        <v>2</v>
      </c>
      <c r="E758" s="196"/>
      <c r="F758" s="199"/>
      <c r="G758" s="218"/>
    </row>
    <row r="759" spans="1:7" ht="24.75" thickBot="1" x14ac:dyDescent="0.25">
      <c r="A759" s="297" t="s">
        <v>136</v>
      </c>
      <c r="B759" s="101" t="s">
        <v>358</v>
      </c>
      <c r="C759" s="124" t="s">
        <v>99</v>
      </c>
      <c r="D759" s="96">
        <v>2</v>
      </c>
      <c r="E759" s="196"/>
      <c r="F759" s="199"/>
      <c r="G759" s="218"/>
    </row>
    <row r="760" spans="1:7" ht="12.75" customHeight="1" x14ac:dyDescent="0.2">
      <c r="A760" s="178"/>
      <c r="B760" s="172" t="s">
        <v>365</v>
      </c>
      <c r="C760" s="280"/>
      <c r="D760" s="286"/>
      <c r="E760" s="282"/>
      <c r="F760" s="266"/>
      <c r="G760" s="267"/>
    </row>
    <row r="761" spans="1:7" ht="12.75" customHeight="1" thickBot="1" x14ac:dyDescent="0.25">
      <c r="A761" s="179"/>
      <c r="B761" s="141" t="s">
        <v>248</v>
      </c>
      <c r="C761" s="283"/>
      <c r="D761" s="287"/>
      <c r="E761" s="285"/>
      <c r="F761" s="268"/>
      <c r="G761" s="269"/>
    </row>
    <row r="762" spans="1:7" ht="12.75" customHeight="1" x14ac:dyDescent="0.2">
      <c r="A762" s="138"/>
      <c r="B762" s="98" t="s">
        <v>256</v>
      </c>
      <c r="C762" s="51"/>
      <c r="D762" s="96"/>
      <c r="E762" s="196"/>
      <c r="F762" s="199"/>
      <c r="G762" s="200"/>
    </row>
    <row r="763" spans="1:7" ht="12.75" customHeight="1" x14ac:dyDescent="0.2">
      <c r="A763" s="138"/>
      <c r="B763" s="67" t="s">
        <v>253</v>
      </c>
      <c r="C763" s="51"/>
      <c r="D763" s="96"/>
      <c r="E763" s="196"/>
      <c r="F763" s="199"/>
      <c r="G763" s="200"/>
    </row>
    <row r="764" spans="1:7" ht="12.75" customHeight="1" x14ac:dyDescent="0.2">
      <c r="A764" s="291" t="s">
        <v>517</v>
      </c>
      <c r="B764" s="255" t="s">
        <v>36</v>
      </c>
      <c r="C764" s="102"/>
      <c r="D764" s="257"/>
      <c r="E764" s="196"/>
      <c r="F764" s="199"/>
      <c r="G764" s="200"/>
    </row>
    <row r="765" spans="1:7" ht="12.75" customHeight="1" x14ac:dyDescent="0.2">
      <c r="A765" s="291"/>
      <c r="B765" s="255" t="s">
        <v>255</v>
      </c>
      <c r="C765" s="102"/>
      <c r="D765" s="257"/>
      <c r="E765" s="196"/>
      <c r="F765" s="199"/>
      <c r="G765" s="200"/>
    </row>
    <row r="766" spans="1:7" ht="12.75" customHeight="1" x14ac:dyDescent="0.2">
      <c r="A766" s="138"/>
      <c r="B766" s="101"/>
      <c r="C766" s="124"/>
      <c r="D766" s="96"/>
      <c r="E766" s="196"/>
      <c r="F766" s="199"/>
      <c r="G766" s="200"/>
    </row>
    <row r="767" spans="1:7" ht="12.75" customHeight="1" x14ac:dyDescent="0.2">
      <c r="A767" s="138"/>
      <c r="B767" s="101"/>
      <c r="C767" s="124"/>
      <c r="D767" s="96"/>
      <c r="E767" s="196"/>
      <c r="F767" s="199"/>
      <c r="G767" s="200"/>
    </row>
    <row r="768" spans="1:7" ht="12.75" customHeight="1" x14ac:dyDescent="0.2">
      <c r="A768" s="138"/>
      <c r="B768" s="101"/>
      <c r="C768" s="124"/>
      <c r="D768" s="96"/>
      <c r="E768" s="196"/>
      <c r="F768" s="199"/>
      <c r="G768" s="200"/>
    </row>
    <row r="769" spans="1:7" ht="12.75" customHeight="1" x14ac:dyDescent="0.2">
      <c r="A769" s="138"/>
      <c r="B769" s="101"/>
      <c r="C769" s="124"/>
      <c r="D769" s="96"/>
      <c r="E769" s="196"/>
      <c r="F769" s="199"/>
      <c r="G769" s="200"/>
    </row>
    <row r="770" spans="1:7" ht="12.75" customHeight="1" x14ac:dyDescent="0.2">
      <c r="A770" s="138"/>
      <c r="B770" s="101"/>
      <c r="C770" s="124"/>
      <c r="D770" s="96"/>
      <c r="E770" s="196"/>
      <c r="F770" s="199"/>
      <c r="G770" s="200"/>
    </row>
    <row r="771" spans="1:7" ht="12.75" customHeight="1" x14ac:dyDescent="0.2">
      <c r="A771" s="138"/>
      <c r="B771" s="101"/>
      <c r="C771" s="124"/>
      <c r="D771" s="96"/>
      <c r="E771" s="196"/>
      <c r="F771" s="199"/>
      <c r="G771" s="218"/>
    </row>
    <row r="772" spans="1:7" ht="12.75" customHeight="1" x14ac:dyDescent="0.2">
      <c r="A772" s="138"/>
      <c r="B772" s="101"/>
      <c r="C772" s="124"/>
      <c r="D772" s="96"/>
      <c r="E772" s="196"/>
      <c r="F772" s="199"/>
      <c r="G772" s="200"/>
    </row>
    <row r="773" spans="1:7" ht="12.75" customHeight="1" x14ac:dyDescent="0.2">
      <c r="A773" s="138"/>
      <c r="B773" s="101"/>
      <c r="C773" s="124"/>
      <c r="D773" s="96"/>
      <c r="E773" s="196"/>
      <c r="F773" s="199"/>
      <c r="G773" s="200"/>
    </row>
    <row r="774" spans="1:7" ht="12.75" customHeight="1" x14ac:dyDescent="0.2">
      <c r="A774" s="138"/>
      <c r="B774" s="101"/>
      <c r="C774" s="124"/>
      <c r="D774" s="96"/>
      <c r="E774" s="196"/>
      <c r="F774" s="199"/>
      <c r="G774" s="200"/>
    </row>
    <row r="775" spans="1:7" ht="12.75" customHeight="1" x14ac:dyDescent="0.2">
      <c r="A775" s="138"/>
      <c r="B775" s="101"/>
      <c r="C775" s="124"/>
      <c r="D775" s="96"/>
      <c r="E775" s="196"/>
      <c r="F775" s="199"/>
      <c r="G775" s="200"/>
    </row>
    <row r="776" spans="1:7" ht="12.75" customHeight="1" x14ac:dyDescent="0.2">
      <c r="A776" s="138"/>
      <c r="B776" s="101"/>
      <c r="C776" s="124"/>
      <c r="D776" s="96"/>
      <c r="E776" s="196"/>
      <c r="F776" s="199"/>
      <c r="G776" s="200"/>
    </row>
    <row r="777" spans="1:7" ht="12.75" customHeight="1" x14ac:dyDescent="0.2">
      <c r="A777" s="138"/>
      <c r="B777" s="101"/>
      <c r="C777" s="124"/>
      <c r="D777" s="96"/>
      <c r="E777" s="196"/>
      <c r="F777" s="199"/>
      <c r="G777" s="200"/>
    </row>
    <row r="778" spans="1:7" ht="12.75" customHeight="1" x14ac:dyDescent="0.2">
      <c r="A778" s="138"/>
      <c r="B778" s="101"/>
      <c r="C778" s="124"/>
      <c r="D778" s="96"/>
      <c r="E778" s="196"/>
      <c r="F778" s="199"/>
      <c r="G778" s="200"/>
    </row>
    <row r="779" spans="1:7" ht="12.75" customHeight="1" x14ac:dyDescent="0.2">
      <c r="A779" s="138"/>
      <c r="B779" s="101"/>
      <c r="C779" s="124"/>
      <c r="D779" s="96"/>
      <c r="E779" s="196"/>
      <c r="F779" s="199"/>
      <c r="G779" s="200"/>
    </row>
    <row r="780" spans="1:7" ht="12.75" customHeight="1" x14ac:dyDescent="0.2">
      <c r="A780" s="138"/>
      <c r="B780" s="101"/>
      <c r="C780" s="124"/>
      <c r="D780" s="96"/>
      <c r="E780" s="196"/>
      <c r="F780" s="199"/>
      <c r="G780" s="200"/>
    </row>
    <row r="781" spans="1:7" ht="12.75" customHeight="1" x14ac:dyDescent="0.2">
      <c r="A781" s="138"/>
      <c r="B781" s="101"/>
      <c r="C781" s="124"/>
      <c r="D781" s="96"/>
      <c r="E781" s="196"/>
      <c r="F781" s="199"/>
      <c r="G781" s="200"/>
    </row>
    <row r="782" spans="1:7" ht="12.75" customHeight="1" x14ac:dyDescent="0.2">
      <c r="A782" s="138"/>
      <c r="B782" s="101"/>
      <c r="C782" s="124"/>
      <c r="D782" s="96"/>
      <c r="E782" s="196"/>
      <c r="F782" s="199"/>
      <c r="G782" s="200"/>
    </row>
    <row r="783" spans="1:7" ht="12.75" customHeight="1" x14ac:dyDescent="0.2">
      <c r="A783" s="138"/>
      <c r="B783" s="101"/>
      <c r="C783" s="124"/>
      <c r="D783" s="96"/>
      <c r="E783" s="196"/>
      <c r="F783" s="199"/>
      <c r="G783" s="200"/>
    </row>
    <row r="784" spans="1:7" ht="12.75" customHeight="1" x14ac:dyDescent="0.2">
      <c r="A784" s="138"/>
      <c r="B784" s="101"/>
      <c r="C784" s="124"/>
      <c r="D784" s="96"/>
      <c r="E784" s="196"/>
      <c r="F784" s="199"/>
      <c r="G784" s="200"/>
    </row>
    <row r="785" spans="1:7" ht="12.75" customHeight="1" x14ac:dyDescent="0.2">
      <c r="A785" s="138"/>
      <c r="B785" s="101"/>
      <c r="C785" s="124"/>
      <c r="D785" s="96"/>
      <c r="E785" s="196"/>
      <c r="F785" s="199"/>
      <c r="G785" s="200"/>
    </row>
    <row r="786" spans="1:7" ht="12.75" customHeight="1" x14ac:dyDescent="0.2">
      <c r="A786" s="138"/>
      <c r="B786" s="101"/>
      <c r="C786" s="124"/>
      <c r="D786" s="96"/>
      <c r="E786" s="196"/>
      <c r="F786" s="199"/>
      <c r="G786" s="200"/>
    </row>
    <row r="787" spans="1:7" ht="12.75" customHeight="1" x14ac:dyDescent="0.2">
      <c r="A787" s="138"/>
      <c r="B787" s="101"/>
      <c r="C787" s="124"/>
      <c r="D787" s="96"/>
      <c r="E787" s="196"/>
      <c r="F787" s="199"/>
      <c r="G787" s="200"/>
    </row>
    <row r="788" spans="1:7" ht="12.75" customHeight="1" x14ac:dyDescent="0.2">
      <c r="A788" s="138"/>
      <c r="B788" s="101"/>
      <c r="C788" s="124"/>
      <c r="D788" s="96"/>
      <c r="E788" s="196"/>
      <c r="F788" s="199"/>
      <c r="G788" s="200"/>
    </row>
    <row r="789" spans="1:7" ht="12.75" customHeight="1" x14ac:dyDescent="0.2">
      <c r="A789" s="138"/>
      <c r="B789" s="101"/>
      <c r="C789" s="124"/>
      <c r="D789" s="96"/>
      <c r="E789" s="196"/>
      <c r="F789" s="199"/>
      <c r="G789" s="200"/>
    </row>
    <row r="790" spans="1:7" ht="12.75" customHeight="1" x14ac:dyDescent="0.2">
      <c r="A790" s="138"/>
      <c r="B790" s="101"/>
      <c r="C790" s="124"/>
      <c r="D790" s="96"/>
      <c r="E790" s="196"/>
      <c r="F790" s="199"/>
      <c r="G790" s="200"/>
    </row>
    <row r="791" spans="1:7" ht="12.75" customHeight="1" x14ac:dyDescent="0.2">
      <c r="A791" s="138"/>
      <c r="B791" s="101"/>
      <c r="C791" s="124"/>
      <c r="D791" s="96"/>
      <c r="E791" s="196"/>
      <c r="F791" s="199"/>
      <c r="G791" s="200"/>
    </row>
    <row r="792" spans="1:7" ht="12.75" customHeight="1" x14ac:dyDescent="0.2">
      <c r="A792" s="138"/>
      <c r="B792" s="101"/>
      <c r="C792" s="124"/>
      <c r="D792" s="96"/>
      <c r="E792" s="196"/>
      <c r="F792" s="199"/>
      <c r="G792" s="200"/>
    </row>
    <row r="793" spans="1:7" ht="12.75" customHeight="1" x14ac:dyDescent="0.2">
      <c r="A793" s="138"/>
      <c r="B793" s="101"/>
      <c r="C793" s="124"/>
      <c r="D793" s="96"/>
      <c r="E793" s="196"/>
      <c r="F793" s="199"/>
      <c r="G793" s="200"/>
    </row>
    <row r="794" spans="1:7" ht="12.75" customHeight="1" x14ac:dyDescent="0.2">
      <c r="A794" s="138"/>
      <c r="B794" s="101"/>
      <c r="C794" s="124"/>
      <c r="D794" s="96"/>
      <c r="E794" s="196"/>
      <c r="F794" s="199"/>
      <c r="G794" s="200"/>
    </row>
    <row r="795" spans="1:7" ht="12.75" customHeight="1" x14ac:dyDescent="0.2">
      <c r="A795" s="138"/>
      <c r="B795" s="101"/>
      <c r="C795" s="124"/>
      <c r="D795" s="96"/>
      <c r="E795" s="196"/>
      <c r="F795" s="199"/>
      <c r="G795" s="200"/>
    </row>
    <row r="796" spans="1:7" ht="12.75" customHeight="1" thickBot="1" x14ac:dyDescent="0.25">
      <c r="A796" s="138"/>
      <c r="B796" s="101"/>
      <c r="C796" s="124"/>
      <c r="D796" s="96"/>
      <c r="E796" s="196"/>
      <c r="F796" s="199"/>
      <c r="G796" s="200"/>
    </row>
    <row r="797" spans="1:7" ht="12.75" customHeight="1" x14ac:dyDescent="0.2">
      <c r="A797" s="178"/>
      <c r="B797" s="172" t="s">
        <v>366</v>
      </c>
      <c r="C797" s="280"/>
      <c r="D797" s="286"/>
      <c r="E797" s="282"/>
      <c r="F797" s="266"/>
      <c r="G797" s="267"/>
    </row>
    <row r="798" spans="1:7" ht="12.75" customHeight="1" thickBot="1" x14ac:dyDescent="0.25">
      <c r="A798" s="179"/>
      <c r="B798" s="141" t="s">
        <v>257</v>
      </c>
      <c r="C798" s="283"/>
      <c r="D798" s="287"/>
      <c r="E798" s="285"/>
      <c r="F798" s="268"/>
      <c r="G798" s="269"/>
    </row>
    <row r="799" spans="1:7" ht="12.75" customHeight="1" x14ac:dyDescent="0.2">
      <c r="A799" s="138"/>
      <c r="B799" s="98" t="s">
        <v>367</v>
      </c>
      <c r="C799" s="51"/>
      <c r="D799" s="96"/>
      <c r="E799" s="196"/>
      <c r="F799" s="199"/>
      <c r="G799" s="200"/>
    </row>
    <row r="800" spans="1:7" ht="12.75" customHeight="1" x14ac:dyDescent="0.2">
      <c r="A800" s="138"/>
      <c r="B800" s="67" t="s">
        <v>254</v>
      </c>
      <c r="C800" s="51"/>
      <c r="D800" s="96"/>
      <c r="E800" s="196"/>
      <c r="F800" s="199"/>
      <c r="G800" s="200"/>
    </row>
    <row r="801" spans="1:7" ht="12.75" customHeight="1" x14ac:dyDescent="0.2">
      <c r="A801" s="291" t="s">
        <v>518</v>
      </c>
      <c r="B801" s="255" t="s">
        <v>36</v>
      </c>
      <c r="C801" s="102"/>
      <c r="D801" s="257"/>
      <c r="E801" s="196"/>
      <c r="F801" s="199"/>
      <c r="G801" s="200"/>
    </row>
    <row r="802" spans="1:7" ht="12.75" customHeight="1" x14ac:dyDescent="0.2">
      <c r="A802" s="139"/>
      <c r="B802" s="140" t="s">
        <v>272</v>
      </c>
      <c r="C802" s="122"/>
      <c r="D802" s="96"/>
      <c r="E802" s="196"/>
      <c r="F802" s="199"/>
      <c r="G802" s="200"/>
    </row>
    <row r="803" spans="1:7" ht="12.75" customHeight="1" x14ac:dyDescent="0.2">
      <c r="A803" s="138"/>
      <c r="B803" s="101"/>
      <c r="C803" s="124"/>
      <c r="D803" s="96"/>
      <c r="E803" s="196"/>
      <c r="F803" s="199"/>
      <c r="G803" s="200"/>
    </row>
    <row r="804" spans="1:7" ht="12.75" customHeight="1" x14ac:dyDescent="0.2">
      <c r="A804" s="138"/>
      <c r="B804" s="101"/>
      <c r="C804" s="124"/>
      <c r="D804" s="96"/>
      <c r="E804" s="196"/>
      <c r="F804" s="199"/>
      <c r="G804" s="200"/>
    </row>
    <row r="805" spans="1:7" ht="12.75" customHeight="1" x14ac:dyDescent="0.2">
      <c r="A805" s="138"/>
      <c r="B805" s="101"/>
      <c r="C805" s="124"/>
      <c r="D805" s="96"/>
      <c r="E805" s="196"/>
      <c r="F805" s="199"/>
      <c r="G805" s="200"/>
    </row>
    <row r="806" spans="1:7" ht="12.75" customHeight="1" x14ac:dyDescent="0.2">
      <c r="A806" s="138"/>
      <c r="B806" s="101"/>
      <c r="C806" s="124"/>
      <c r="D806" s="96"/>
      <c r="E806" s="196"/>
      <c r="F806" s="199"/>
      <c r="G806" s="200"/>
    </row>
    <row r="807" spans="1:7" ht="12.75" customHeight="1" x14ac:dyDescent="0.2">
      <c r="A807" s="138"/>
      <c r="B807" s="101"/>
      <c r="C807" s="124"/>
      <c r="D807" s="96"/>
      <c r="E807" s="196"/>
      <c r="F807" s="199"/>
      <c r="G807" s="200"/>
    </row>
    <row r="808" spans="1:7" ht="12.75" customHeight="1" x14ac:dyDescent="0.2">
      <c r="A808" s="138"/>
      <c r="B808" s="101"/>
      <c r="C808" s="124"/>
      <c r="D808" s="96"/>
      <c r="E808" s="196"/>
      <c r="F808" s="199"/>
      <c r="G808" s="218"/>
    </row>
    <row r="809" spans="1:7" ht="12.75" customHeight="1" x14ac:dyDescent="0.2">
      <c r="A809" s="138"/>
      <c r="B809" s="101"/>
      <c r="C809" s="124"/>
      <c r="D809" s="96"/>
      <c r="E809" s="196"/>
      <c r="F809" s="199"/>
      <c r="G809" s="200"/>
    </row>
    <row r="810" spans="1:7" ht="12.75" customHeight="1" x14ac:dyDescent="0.2">
      <c r="A810" s="138"/>
      <c r="B810" s="101"/>
      <c r="C810" s="124"/>
      <c r="D810" s="96"/>
      <c r="E810" s="196"/>
      <c r="F810" s="199"/>
      <c r="G810" s="200"/>
    </row>
    <row r="811" spans="1:7" ht="12.75" customHeight="1" x14ac:dyDescent="0.2">
      <c r="A811" s="138"/>
      <c r="B811" s="101"/>
      <c r="C811" s="124"/>
      <c r="D811" s="96"/>
      <c r="E811" s="196"/>
      <c r="F811" s="199"/>
      <c r="G811" s="200"/>
    </row>
    <row r="812" spans="1:7" ht="12.75" customHeight="1" x14ac:dyDescent="0.2">
      <c r="A812" s="138"/>
      <c r="B812" s="101"/>
      <c r="C812" s="124"/>
      <c r="D812" s="96"/>
      <c r="E812" s="196"/>
      <c r="F812" s="199"/>
      <c r="G812" s="200"/>
    </row>
    <row r="813" spans="1:7" ht="12.75" customHeight="1" x14ac:dyDescent="0.2">
      <c r="A813" s="138"/>
      <c r="B813" s="101"/>
      <c r="C813" s="124"/>
      <c r="D813" s="96"/>
      <c r="E813" s="196"/>
      <c r="F813" s="199"/>
      <c r="G813" s="200"/>
    </row>
    <row r="814" spans="1:7" ht="12.75" customHeight="1" x14ac:dyDescent="0.2">
      <c r="A814" s="138"/>
      <c r="B814" s="101"/>
      <c r="C814" s="124"/>
      <c r="D814" s="96"/>
      <c r="E814" s="196"/>
      <c r="F814" s="199"/>
      <c r="G814" s="200"/>
    </row>
    <row r="815" spans="1:7" ht="12.75" customHeight="1" x14ac:dyDescent="0.2">
      <c r="A815" s="138"/>
      <c r="B815" s="101"/>
      <c r="C815" s="124"/>
      <c r="D815" s="96"/>
      <c r="E815" s="196"/>
      <c r="F815" s="199"/>
      <c r="G815" s="200"/>
    </row>
    <row r="816" spans="1:7" ht="12.75" customHeight="1" x14ac:dyDescent="0.2">
      <c r="A816" s="138"/>
      <c r="B816" s="101"/>
      <c r="C816" s="124"/>
      <c r="D816" s="96"/>
      <c r="E816" s="196"/>
      <c r="F816" s="199"/>
      <c r="G816" s="200"/>
    </row>
    <row r="817" spans="1:7" ht="12.75" customHeight="1" x14ac:dyDescent="0.2">
      <c r="A817" s="138"/>
      <c r="B817" s="101"/>
      <c r="C817" s="124"/>
      <c r="D817" s="96"/>
      <c r="E817" s="196"/>
      <c r="F817" s="199"/>
      <c r="G817" s="200"/>
    </row>
    <row r="818" spans="1:7" ht="12.75" customHeight="1" x14ac:dyDescent="0.2">
      <c r="A818" s="138"/>
      <c r="B818" s="101"/>
      <c r="C818" s="124"/>
      <c r="D818" s="96"/>
      <c r="E818" s="196"/>
      <c r="F818" s="199"/>
      <c r="G818" s="200"/>
    </row>
    <row r="819" spans="1:7" ht="12.75" customHeight="1" x14ac:dyDescent="0.2">
      <c r="A819" s="138"/>
      <c r="B819" s="101"/>
      <c r="C819" s="124"/>
      <c r="D819" s="96"/>
      <c r="E819" s="196"/>
      <c r="F819" s="199"/>
      <c r="G819" s="200"/>
    </row>
    <row r="820" spans="1:7" ht="12.75" customHeight="1" x14ac:dyDescent="0.2">
      <c r="A820" s="138"/>
      <c r="B820" s="101"/>
      <c r="C820" s="124"/>
      <c r="D820" s="96"/>
      <c r="E820" s="196"/>
      <c r="F820" s="199"/>
      <c r="G820" s="200"/>
    </row>
    <row r="821" spans="1:7" ht="12.75" customHeight="1" x14ac:dyDescent="0.2">
      <c r="A821" s="138"/>
      <c r="B821" s="101"/>
      <c r="C821" s="124"/>
      <c r="D821" s="96"/>
      <c r="E821" s="196"/>
      <c r="F821" s="199"/>
      <c r="G821" s="200"/>
    </row>
    <row r="822" spans="1:7" ht="12.75" customHeight="1" x14ac:dyDescent="0.2">
      <c r="A822" s="138"/>
      <c r="B822" s="101"/>
      <c r="C822" s="124"/>
      <c r="D822" s="96"/>
      <c r="E822" s="196"/>
      <c r="F822" s="199"/>
      <c r="G822" s="200"/>
    </row>
    <row r="823" spans="1:7" ht="12.75" customHeight="1" x14ac:dyDescent="0.2">
      <c r="A823" s="138"/>
      <c r="B823" s="101"/>
      <c r="C823" s="124"/>
      <c r="D823" s="96"/>
      <c r="E823" s="196"/>
      <c r="F823" s="199"/>
      <c r="G823" s="200"/>
    </row>
    <row r="824" spans="1:7" ht="12.75" customHeight="1" x14ac:dyDescent="0.2">
      <c r="A824" s="138"/>
      <c r="B824" s="101"/>
      <c r="C824" s="124"/>
      <c r="D824" s="96"/>
      <c r="E824" s="196"/>
      <c r="F824" s="199"/>
      <c r="G824" s="200"/>
    </row>
    <row r="825" spans="1:7" ht="12.75" customHeight="1" x14ac:dyDescent="0.2">
      <c r="A825" s="138"/>
      <c r="B825" s="101"/>
      <c r="C825" s="124"/>
      <c r="D825" s="96"/>
      <c r="E825" s="196"/>
      <c r="F825" s="199"/>
      <c r="G825" s="200"/>
    </row>
    <row r="826" spans="1:7" ht="12.75" customHeight="1" x14ac:dyDescent="0.2">
      <c r="A826" s="138"/>
      <c r="B826" s="101"/>
      <c r="C826" s="124"/>
      <c r="D826" s="96"/>
      <c r="E826" s="196"/>
      <c r="F826" s="199"/>
      <c r="G826" s="200"/>
    </row>
    <row r="827" spans="1:7" ht="12.75" customHeight="1" x14ac:dyDescent="0.2">
      <c r="A827" s="138"/>
      <c r="B827" s="101"/>
      <c r="C827" s="124"/>
      <c r="D827" s="96"/>
      <c r="E827" s="196"/>
      <c r="F827" s="199"/>
      <c r="G827" s="200"/>
    </row>
    <row r="828" spans="1:7" ht="12.75" customHeight="1" x14ac:dyDescent="0.2">
      <c r="A828" s="138"/>
      <c r="B828" s="101"/>
      <c r="C828" s="124"/>
      <c r="D828" s="96"/>
      <c r="E828" s="196"/>
      <c r="F828" s="199"/>
      <c r="G828" s="200"/>
    </row>
    <row r="829" spans="1:7" ht="12.75" customHeight="1" x14ac:dyDescent="0.2">
      <c r="A829" s="138"/>
      <c r="B829" s="101"/>
      <c r="C829" s="124"/>
      <c r="D829" s="96"/>
      <c r="E829" s="196"/>
      <c r="F829" s="199"/>
      <c r="G829" s="200"/>
    </row>
    <row r="830" spans="1:7" ht="12.75" customHeight="1" x14ac:dyDescent="0.2">
      <c r="A830" s="138"/>
      <c r="B830" s="101"/>
      <c r="C830" s="124"/>
      <c r="D830" s="96"/>
      <c r="E830" s="196"/>
      <c r="F830" s="199"/>
      <c r="G830" s="200"/>
    </row>
    <row r="831" spans="1:7" ht="12.75" customHeight="1" x14ac:dyDescent="0.2">
      <c r="A831" s="138"/>
      <c r="B831" s="101"/>
      <c r="C831" s="124"/>
      <c r="D831" s="96"/>
      <c r="E831" s="196"/>
      <c r="F831" s="199"/>
      <c r="G831" s="200"/>
    </row>
    <row r="832" spans="1:7" ht="12.75" customHeight="1" x14ac:dyDescent="0.2">
      <c r="A832" s="138"/>
      <c r="B832" s="101"/>
      <c r="C832" s="124"/>
      <c r="D832" s="96"/>
      <c r="E832" s="196"/>
      <c r="F832" s="199"/>
      <c r="G832" s="200"/>
    </row>
    <row r="833" spans="1:7" ht="12.75" customHeight="1" x14ac:dyDescent="0.2">
      <c r="A833" s="138"/>
      <c r="B833" s="101"/>
      <c r="C833" s="124"/>
      <c r="D833" s="96"/>
      <c r="E833" s="196"/>
      <c r="F833" s="199"/>
      <c r="G833" s="200"/>
    </row>
    <row r="834" spans="1:7" ht="12.75" customHeight="1" x14ac:dyDescent="0.2">
      <c r="A834" s="138"/>
      <c r="B834" s="101"/>
      <c r="C834" s="124"/>
      <c r="D834" s="96"/>
      <c r="E834" s="196"/>
      <c r="F834" s="199"/>
      <c r="G834" s="200"/>
    </row>
    <row r="835" spans="1:7" ht="12.75" customHeight="1" x14ac:dyDescent="0.2">
      <c r="A835" s="138"/>
      <c r="B835" s="101"/>
      <c r="C835" s="124"/>
      <c r="D835" s="96"/>
      <c r="E835" s="196"/>
      <c r="F835" s="199"/>
      <c r="G835" s="200"/>
    </row>
    <row r="836" spans="1:7" ht="12.75" customHeight="1" x14ac:dyDescent="0.2">
      <c r="A836" s="138"/>
      <c r="B836" s="101"/>
      <c r="C836" s="124"/>
      <c r="D836" s="96"/>
      <c r="E836" s="196"/>
      <c r="F836" s="199"/>
      <c r="G836" s="200"/>
    </row>
    <row r="837" spans="1:7" ht="12.75" customHeight="1" x14ac:dyDescent="0.2">
      <c r="A837" s="138"/>
      <c r="B837" s="101"/>
      <c r="C837" s="124"/>
      <c r="D837" s="96"/>
      <c r="E837" s="196"/>
      <c r="F837" s="199"/>
      <c r="G837" s="200"/>
    </row>
    <row r="838" spans="1:7" ht="12.75" customHeight="1" x14ac:dyDescent="0.2">
      <c r="A838" s="138"/>
      <c r="B838" s="101"/>
      <c r="C838" s="124"/>
      <c r="D838" s="96"/>
      <c r="E838" s="196"/>
      <c r="F838" s="199"/>
      <c r="G838" s="200"/>
    </row>
    <row r="839" spans="1:7" ht="12.75" customHeight="1" x14ac:dyDescent="0.2">
      <c r="A839" s="138"/>
      <c r="B839" s="101"/>
      <c r="C839" s="124"/>
      <c r="D839" s="96"/>
      <c r="E839" s="196"/>
      <c r="F839" s="199"/>
      <c r="G839" s="200"/>
    </row>
    <row r="840" spans="1:7" ht="12.75" customHeight="1" thickBot="1" x14ac:dyDescent="0.25">
      <c r="A840" s="138"/>
      <c r="B840" s="101"/>
      <c r="C840" s="124"/>
      <c r="D840" s="96"/>
      <c r="E840" s="196"/>
      <c r="F840" s="199"/>
      <c r="G840" s="200"/>
    </row>
    <row r="841" spans="1:7" ht="12.75" customHeight="1" x14ac:dyDescent="0.2">
      <c r="A841" s="178"/>
      <c r="B841" s="172" t="s">
        <v>368</v>
      </c>
      <c r="C841" s="280"/>
      <c r="D841" s="286"/>
      <c r="E841" s="282"/>
      <c r="F841" s="266"/>
      <c r="G841" s="267"/>
    </row>
    <row r="842" spans="1:7" ht="12.75" customHeight="1" thickBot="1" x14ac:dyDescent="0.25">
      <c r="A842" s="179"/>
      <c r="B842" s="141" t="s">
        <v>369</v>
      </c>
      <c r="C842" s="283"/>
      <c r="D842" s="287"/>
      <c r="E842" s="285"/>
      <c r="F842" s="268"/>
      <c r="G842" s="269"/>
    </row>
  </sheetData>
  <mergeCells count="2">
    <mergeCell ref="A1:G1"/>
    <mergeCell ref="E2:G2"/>
  </mergeCells>
  <pageMargins left="0.59055118110236227" right="0.59055118110236227" top="0.59055118110236227" bottom="0.59055118110236227" header="0.23622047244094491" footer="0.23622047244094491"/>
  <pageSetup scale="97" orientation="portrait" horizontalDpi="4294967293" verticalDpi="300" r:id="rId1"/>
  <headerFooter>
    <oddHeader>&amp;L&amp;8Sh.Lhaimagu School&amp;R&amp;8     BILL OF QUANTITIES</oddHeader>
    <oddFooter>Prepared by JP &amp;D&amp;RPage &amp;P</oddFooter>
  </headerFooter>
  <rowBreaks count="24" manualBreakCount="24">
    <brk id="16" max="6" man="1"/>
    <brk id="29" max="19" man="1"/>
    <brk id="79" max="19" man="1"/>
    <brk id="115" max="19" man="1"/>
    <brk id="163" max="19" man="1"/>
    <brk id="209" max="19" man="1"/>
    <brk id="248" max="19" man="1"/>
    <brk id="294" max="19" man="1"/>
    <brk id="327" max="19" man="1"/>
    <brk id="356" max="19" man="1"/>
    <brk id="385" max="19" man="1"/>
    <brk id="410" max="19" man="1"/>
    <brk id="453" max="19" man="1"/>
    <brk id="493" max="19" man="1"/>
    <brk id="525" max="19" man="1"/>
    <brk id="556" max="19" man="1"/>
    <brk id="585" max="19" man="1"/>
    <brk id="620" max="19" man="1"/>
    <brk id="643" max="19" man="1"/>
    <brk id="661" max="19" man="1"/>
    <brk id="693" max="19" man="1"/>
    <brk id="728" max="19" man="1"/>
    <brk id="761" max="19" man="1"/>
    <brk id="798" max="1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Mohamed Rassam</cp:lastModifiedBy>
  <cp:lastPrinted>2020-06-25T06:04:12Z</cp:lastPrinted>
  <dcterms:created xsi:type="dcterms:W3CDTF">2011-03-24T06:48:27Z</dcterms:created>
  <dcterms:modified xsi:type="dcterms:W3CDTF">2021-04-08T05:05:40Z</dcterms:modified>
</cp:coreProperties>
</file>