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10590" yWindow="300" windowWidth="9315" windowHeight="6975" tabRatio="785"/>
  </bookViews>
  <sheets>
    <sheet name="SUMMARY" sheetId="8" r:id="rId1"/>
    <sheet name="BOQ Ground Floor" sheetId="3" r:id="rId2"/>
    <sheet name="BOQ First Floor" sheetId="5" r:id="rId3"/>
    <sheet name="BOQ PerimeterWall" sheetId="7" r:id="rId4"/>
  </sheets>
  <definedNames>
    <definedName name="CONCEALED_CEILING_SYSTEM" localSheetId="3">#REF!</definedName>
    <definedName name="CONCEALED_CEILING_SYSTEM" localSheetId="0">#REF!</definedName>
    <definedName name="CONCEALED_CEILING_SYSTEM">#REF!</definedName>
    <definedName name="CONCRETING_MATERIALS" localSheetId="3">#REF!</definedName>
    <definedName name="CONCRETING_MATERIALS" localSheetId="0">#REF!</definedName>
    <definedName name="CONCRETING_MATERIALS">#REF!</definedName>
    <definedName name="DOORS" localSheetId="3">#REF!</definedName>
    <definedName name="DOORS" localSheetId="0">#REF!</definedName>
    <definedName name="DOORS">#REF!</definedName>
    <definedName name="DRYWALL_PARTITION_SYSTEM" localSheetId="3">#REF!</definedName>
    <definedName name="DRYWALL_PARTITION_SYSTEM" localSheetId="0">#REF!</definedName>
    <definedName name="DRYWALL_PARTITION_SYSTEM">#REF!</definedName>
    <definedName name="ELECTRICAL_FIXTURES___FITTINGS" localSheetId="3">#REF!</definedName>
    <definedName name="ELECTRICAL_FIXTURES___FITTINGS" localSheetId="0">#REF!</definedName>
    <definedName name="ELECTRICAL_FIXTURES___FITTINGS">#REF!</definedName>
    <definedName name="FLOORING_ITEMS" localSheetId="3">#REF!</definedName>
    <definedName name="FLOORING_ITEMS" localSheetId="0">#REF!</definedName>
    <definedName name="FLOORING_ITEMS">#REF!</definedName>
    <definedName name="GRID_CEILING_SYSTEM" localSheetId="3">#REF!</definedName>
    <definedName name="GRID_CEILING_SYSTEM" localSheetId="0">#REF!</definedName>
    <definedName name="GRID_CEILING_SYSTEM">#REF!</definedName>
    <definedName name="METALS___ACCESSORIES" localSheetId="3">#REF!</definedName>
    <definedName name="METALS___ACCESSORIES" localSheetId="0">#REF!</definedName>
    <definedName name="METALS___ACCESSORIES">#REF!</definedName>
    <definedName name="MISC_ITEMS" localSheetId="3">#REF!</definedName>
    <definedName name="MISC_ITEMS" localSheetId="0">#REF!</definedName>
    <definedName name="MISC_ITEMS">#REF!</definedName>
    <definedName name="PAINTS" localSheetId="3">#REF!</definedName>
    <definedName name="PAINTS" localSheetId="0">#REF!</definedName>
    <definedName name="PAINTS">#REF!</definedName>
    <definedName name="Price_List" localSheetId="3">#REF!</definedName>
    <definedName name="Price_List" localSheetId="0">#REF!</definedName>
    <definedName name="Price_List">#REF!</definedName>
    <definedName name="_xlnm.Print_Area" localSheetId="2">'BOQ First Floor'!$A$1:$G$569</definedName>
    <definedName name="_xlnm.Print_Area" localSheetId="1">'BOQ Ground Floor'!$A$1:$G$530</definedName>
    <definedName name="_xlnm.Print_Area" localSheetId="3">'BOQ PerimeterWall'!$A$1:$G$186</definedName>
    <definedName name="_xlnm.Print_Area" localSheetId="0">SUMMARY!$A$1:$G$103</definedName>
    <definedName name="_xlnm.Print_Titles" localSheetId="2">'BOQ First Floor'!$74:$74</definedName>
    <definedName name="_xlnm.Print_Titles" localSheetId="1">'BOQ Ground Floor'!$73:$73</definedName>
    <definedName name="_xlnm.Print_Titles" localSheetId="3">'BOQ PerimeterWall'!$58:$58</definedName>
    <definedName name="ROOFING_ITEMS" localSheetId="3">#REF!</definedName>
    <definedName name="ROOFING_ITEMS" localSheetId="0">#REF!</definedName>
    <definedName name="ROOFING_ITEMS">#REF!</definedName>
    <definedName name="SANITARY_AND_WATER_SUPPLY" localSheetId="3">#REF!</definedName>
    <definedName name="SANITARY_AND_WATER_SUPPLY" localSheetId="0">#REF!</definedName>
    <definedName name="SANITARY_AND_WATER_SUPPLY">#REF!</definedName>
    <definedName name="steel_weight" localSheetId="3">#REF!</definedName>
    <definedName name="steel_weight" localSheetId="0">#REF!</definedName>
    <definedName name="steel_weight">#REF!</definedName>
    <definedName name="TOOLS" localSheetId="3">#REF!</definedName>
    <definedName name="TOOLS" localSheetId="0">#REF!</definedName>
    <definedName name="TOOLS">#REF!</definedName>
    <definedName name="WOOD_AND_GLASS" localSheetId="3">#REF!</definedName>
    <definedName name="WOOD_AND_GLASS" localSheetId="0">#REF!</definedName>
    <definedName name="WOOD_AND_GLASS">#REF!</definedName>
    <definedName name="Z_D07B1302_4C97_5B45_B34E_C55441B939E3_.wvu.FilterData" localSheetId="1" hidden="1">'BOQ Ground Floor'!#REF!</definedName>
    <definedName name="Z_D07B1302_4C97_5B45_B34E_C55441B939E3_.wvu.FilterData" localSheetId="3" hidden="1">'BOQ PerimeterWall'!#REF!</definedName>
    <definedName name="Z_D07B1302_4C97_5B45_B34E_C55441B939E3_.wvu.PrintArea" localSheetId="2" hidden="1">'BOQ First Floor'!$A$1:$G$569</definedName>
    <definedName name="Z_D07B1302_4C97_5B45_B34E_C55441B939E3_.wvu.PrintArea" localSheetId="1" hidden="1">'BOQ Ground Floor'!$A$1:$G$531</definedName>
    <definedName name="Z_D07B1302_4C97_5B45_B34E_C55441B939E3_.wvu.PrintArea" localSheetId="3" hidden="1">'BOQ PerimeterWall'!$A$1:$G$182</definedName>
    <definedName name="Z_D07B1302_4C97_5B45_B34E_C55441B939E3_.wvu.PrintTitles" localSheetId="2" hidden="1">'BOQ First Floor'!$74:$74</definedName>
    <definedName name="Z_D07B1302_4C97_5B45_B34E_C55441B939E3_.wvu.PrintTitles" localSheetId="1" hidden="1">'BOQ Ground Floor'!$163:$163</definedName>
    <definedName name="Z_D07B1302_4C97_5B45_B34E_C55441B939E3_.wvu.PrintTitles" localSheetId="3" hidden="1">'BOQ PerimeterWall'!#REF!</definedName>
  </definedNames>
  <calcPr calcId="124519"/>
  <customWorkbookViews>
    <customWorkbookView name="Aminath Ali - Personal View" guid="{D07B1302-4C97-5B45-B34E-C55441B939E3}" mergeInterval="0" personalView="1" xWindow="-4" yWindow="86" windowWidth="753" windowHeight="674" tabRatio="956" activeSheetId="6"/>
  </customWorkbookViews>
</workbook>
</file>

<file path=xl/calcChain.xml><?xml version="1.0" encoding="utf-8"?>
<calcChain xmlns="http://schemas.openxmlformats.org/spreadsheetml/2006/main">
  <c r="C225" i="3"/>
  <c r="B50" i="5" l="1"/>
  <c r="C165" i="3"/>
  <c r="C111"/>
  <c r="C163" i="5" l="1"/>
  <c r="C159"/>
  <c r="C155"/>
  <c r="C151"/>
  <c r="C147"/>
  <c r="C143"/>
  <c r="C139"/>
  <c r="C135"/>
  <c r="C191"/>
  <c r="C182"/>
  <c r="C186"/>
  <c r="C176"/>
  <c r="C168"/>
  <c r="C162"/>
  <c r="C158"/>
  <c r="C154"/>
  <c r="C150"/>
  <c r="C146"/>
  <c r="C142"/>
  <c r="C138"/>
  <c r="C134"/>
  <c r="C96"/>
  <c r="C104" i="3"/>
  <c r="C254" i="5"/>
  <c r="C265"/>
  <c r="C508" l="1"/>
  <c r="C510" s="1"/>
  <c r="C509"/>
  <c r="C491"/>
  <c r="C495"/>
  <c r="C500"/>
  <c r="C504"/>
  <c r="C503"/>
  <c r="C499"/>
  <c r="C494"/>
  <c r="C485"/>
  <c r="C490"/>
  <c r="C482"/>
  <c r="C483"/>
  <c r="C480"/>
  <c r="C479"/>
  <c r="C473"/>
  <c r="C472"/>
  <c r="C470"/>
  <c r="C469"/>
  <c r="C475"/>
  <c r="C517"/>
  <c r="C520" s="1"/>
  <c r="C232"/>
  <c r="C358" l="1"/>
  <c r="C355"/>
  <c r="C292" l="1"/>
  <c r="C291"/>
  <c r="C270" l="1"/>
  <c r="C279" s="1"/>
  <c r="C201"/>
  <c r="C129"/>
  <c r="C103"/>
  <c r="C239" l="1"/>
  <c r="C206"/>
  <c r="C369" i="3" l="1"/>
  <c r="C366"/>
  <c r="C278" l="1"/>
  <c r="C240"/>
  <c r="C231"/>
  <c r="C224"/>
  <c r="B32"/>
  <c r="B30"/>
  <c r="C223"/>
  <c r="C256"/>
  <c r="C248"/>
  <c r="C244"/>
  <c r="C234"/>
  <c r="C174"/>
  <c r="C170"/>
  <c r="C199" l="1"/>
  <c r="C146"/>
  <c r="C103"/>
  <c r="C101"/>
  <c r="C99"/>
  <c r="C98"/>
  <c r="C97"/>
  <c r="C96"/>
  <c r="C95"/>
  <c r="C89"/>
  <c r="B32" i="5" l="1"/>
  <c r="B30"/>
  <c r="B28"/>
  <c r="B26"/>
  <c r="C225"/>
  <c r="A49" i="7"/>
  <c r="A65" i="5"/>
  <c r="A64" i="3"/>
  <c r="B35" i="7"/>
  <c r="C81" i="5"/>
  <c r="C82"/>
  <c r="C83"/>
  <c r="C84"/>
  <c r="C85"/>
  <c r="B50" i="3"/>
  <c r="B48"/>
  <c r="B46"/>
  <c r="B44"/>
  <c r="B42"/>
  <c r="B40"/>
  <c r="B38"/>
  <c r="B36"/>
  <c r="B34"/>
  <c r="B28"/>
  <c r="B26"/>
  <c r="B24"/>
  <c r="B22"/>
  <c r="B20"/>
  <c r="A9" i="7"/>
  <c r="A8"/>
  <c r="A7"/>
  <c r="A9" i="5"/>
  <c r="A8"/>
  <c r="A7"/>
  <c r="A5" i="7"/>
  <c r="A5" i="5"/>
  <c r="B33" i="7"/>
  <c r="B31"/>
  <c r="B29"/>
  <c r="B27"/>
  <c r="B25"/>
  <c r="B23"/>
  <c r="B21"/>
  <c r="B48" i="5"/>
  <c r="B46"/>
  <c r="B42"/>
  <c r="B44"/>
  <c r="B40"/>
  <c r="B38"/>
  <c r="B36"/>
  <c r="B34"/>
  <c r="B24"/>
  <c r="B22"/>
  <c r="B20"/>
  <c r="C151" i="7"/>
  <c r="C144"/>
  <c r="C139"/>
  <c r="C138"/>
  <c r="C136"/>
  <c r="C133"/>
  <c r="C132"/>
  <c r="C130"/>
  <c r="C129"/>
  <c r="C135"/>
  <c r="C125"/>
  <c r="C124"/>
  <c r="C123"/>
  <c r="C122"/>
  <c r="C119"/>
  <c r="C118"/>
  <c r="C117"/>
  <c r="C116"/>
  <c r="C110"/>
  <c r="C109"/>
  <c r="C107"/>
  <c r="C108"/>
  <c r="C104"/>
  <c r="C101"/>
  <c r="C98"/>
  <c r="C97"/>
  <c r="C93"/>
  <c r="C89"/>
  <c r="C88"/>
  <c r="C77"/>
  <c r="C76"/>
  <c r="C86"/>
  <c r="C80"/>
  <c r="C83"/>
  <c r="C82"/>
  <c r="C87"/>
  <c r="C81"/>
  <c r="C75"/>
  <c r="C74"/>
  <c r="C71"/>
  <c r="C70"/>
  <c r="C69"/>
  <c r="C68"/>
  <c r="C63"/>
  <c r="C233" i="5" l="1"/>
  <c r="C242" s="1"/>
  <c r="C117" i="3"/>
  <c r="C148"/>
  <c r="C91"/>
  <c r="C215" i="5" l="1"/>
  <c r="C214"/>
  <c r="C213"/>
  <c r="C107" l="1"/>
  <c r="C108"/>
  <c r="C195" l="1"/>
  <c r="C194"/>
  <c r="C190"/>
  <c r="C189"/>
  <c r="C185"/>
  <c r="C181"/>
  <c r="C175"/>
  <c r="C171" l="1"/>
  <c r="C203" i="3"/>
  <c r="C206"/>
  <c r="C197"/>
  <c r="C200"/>
  <c r="C167" i="5"/>
  <c r="C125"/>
  <c r="C124"/>
  <c r="C123"/>
  <c r="C122"/>
  <c r="C121"/>
  <c r="C114"/>
  <c r="C113"/>
  <c r="C112"/>
  <c r="C111"/>
  <c r="C110"/>
  <c r="C109"/>
  <c r="C118"/>
  <c r="C117"/>
  <c r="C97" l="1"/>
  <c r="C95"/>
  <c r="C88"/>
  <c r="C99"/>
  <c r="C205" i="3"/>
  <c r="C202"/>
  <c r="C196"/>
  <c r="C190"/>
  <c r="C189"/>
  <c r="C188"/>
  <c r="C187"/>
  <c r="C181"/>
  <c r="C182"/>
  <c r="C91" i="5"/>
  <c r="C92"/>
  <c r="C180" i="3"/>
  <c r="C179"/>
  <c r="C98" i="5"/>
  <c r="C87"/>
  <c r="C86"/>
  <c r="C159" i="3" l="1"/>
  <c r="C239" l="1"/>
  <c r="C209" l="1"/>
  <c r="C208"/>
  <c r="C191"/>
  <c r="C183"/>
  <c r="C134"/>
  <c r="C145" l="1"/>
  <c r="C158"/>
  <c r="C115"/>
  <c r="C87"/>
  <c r="C86"/>
  <c r="C85"/>
  <c r="C84"/>
  <c r="C83"/>
  <c r="C155" l="1"/>
  <c r="C154"/>
  <c r="C153"/>
  <c r="C152"/>
  <c r="C156"/>
  <c r="C142" l="1"/>
  <c r="C140"/>
  <c r="C138"/>
  <c r="C136"/>
  <c r="C127"/>
  <c r="C125"/>
  <c r="C124"/>
  <c r="C123"/>
  <c r="C122"/>
  <c r="C121"/>
  <c r="C108"/>
  <c r="C113"/>
  <c r="C110"/>
  <c r="C109"/>
</calcChain>
</file>

<file path=xl/sharedStrings.xml><?xml version="1.0" encoding="utf-8"?>
<sst xmlns="http://schemas.openxmlformats.org/spreadsheetml/2006/main" count="1956" uniqueCount="602">
  <si>
    <t>D1</t>
  </si>
  <si>
    <t xml:space="preserve"> </t>
  </si>
  <si>
    <t>nos.</t>
  </si>
  <si>
    <t>kg</t>
  </si>
  <si>
    <t>m</t>
  </si>
  <si>
    <t>m.</t>
  </si>
  <si>
    <t>set</t>
  </si>
  <si>
    <t>LS</t>
  </si>
  <si>
    <t>a.</t>
  </si>
  <si>
    <t>b.</t>
  </si>
  <si>
    <t>c.</t>
  </si>
  <si>
    <t>d.</t>
  </si>
  <si>
    <t>e.</t>
  </si>
  <si>
    <t>f.</t>
  </si>
  <si>
    <t>g.</t>
  </si>
  <si>
    <t>h.</t>
  </si>
  <si>
    <t>j.</t>
  </si>
  <si>
    <t>k.</t>
  </si>
  <si>
    <t>l.</t>
  </si>
  <si>
    <t>n.</t>
  </si>
  <si>
    <t>o.</t>
  </si>
  <si>
    <t>p.</t>
  </si>
  <si>
    <t>q.</t>
  </si>
  <si>
    <t>r.</t>
  </si>
  <si>
    <t>s.</t>
  </si>
  <si>
    <t>In sub base</t>
  </si>
  <si>
    <t>Lay polythene sheet on compacted sub - base</t>
  </si>
  <si>
    <t>Allow for anchorage, bend and splice.</t>
  </si>
  <si>
    <t>item</t>
  </si>
  <si>
    <t xml:space="preserve">BILL OF QUANTITIES </t>
  </si>
  <si>
    <t>High Tensile Steel Reinforcement fabrication bending and fixing as described;</t>
  </si>
  <si>
    <t>Sawn formworks inclusive to all shuttering propping and scaffolding as described;</t>
  </si>
  <si>
    <t xml:space="preserve">Prepare and apply 1 - coat of Alkali Resisting Primer and 2-coats of Weathershield Emulsion Paint on surface as described; </t>
  </si>
  <si>
    <t>ITEM</t>
  </si>
  <si>
    <t>DESCRIPTION</t>
  </si>
  <si>
    <t>QTY.</t>
  </si>
  <si>
    <t>UNIT</t>
  </si>
  <si>
    <t>UNIT PRICE</t>
  </si>
  <si>
    <t>AMOUNT</t>
  </si>
  <si>
    <t>REMARKS</t>
  </si>
  <si>
    <t>BILL 01</t>
  </si>
  <si>
    <t>SLAB ON FILL</t>
  </si>
  <si>
    <t>CONCRETE FRAMES</t>
  </si>
  <si>
    <t>DOORS &amp; WINDOWS</t>
  </si>
  <si>
    <t>SANITARY &amp; WATER SUPPLY</t>
  </si>
  <si>
    <t>BILL 02</t>
  </si>
  <si>
    <t>BILL 03</t>
  </si>
  <si>
    <t>BILL 04</t>
  </si>
  <si>
    <t>BILL 05</t>
  </si>
  <si>
    <t>BILL 06</t>
  </si>
  <si>
    <t>BILL 07</t>
  </si>
  <si>
    <t>BILL 08</t>
  </si>
  <si>
    <t>BILL 09</t>
  </si>
  <si>
    <t>BILL 12</t>
  </si>
  <si>
    <t>BILL 13</t>
  </si>
  <si>
    <t>BILL 14</t>
  </si>
  <si>
    <t>BILL 16</t>
  </si>
  <si>
    <t>BILL 17</t>
  </si>
  <si>
    <t>MASONRY WORKS</t>
  </si>
  <si>
    <t>TOTAL COST OF WORK OF FIRST FLOOR</t>
  </si>
  <si>
    <t>Water tap</t>
  </si>
  <si>
    <t>i.</t>
  </si>
  <si>
    <t>FLOOR FINISHES</t>
  </si>
  <si>
    <t>u.</t>
  </si>
  <si>
    <t>v.</t>
  </si>
  <si>
    <t>W1</t>
  </si>
  <si>
    <t>PVC Mesh</t>
  </si>
  <si>
    <t>nos</t>
  </si>
  <si>
    <t>BILL 10</t>
  </si>
  <si>
    <t>BILL 11</t>
  </si>
  <si>
    <t>BILL 19</t>
  </si>
  <si>
    <t>CONCRETE WORKS</t>
  </si>
  <si>
    <t>Supply and installation of CHB Blocks  blocks 4" x 6" x 12" for both internal and external walls as laid per manufacturer's instruction as described;</t>
  </si>
  <si>
    <t>Allow for PVC/Nylon  mesh reinforcement @ all joints  between walls and concrete.</t>
  </si>
  <si>
    <t>ELECTRICAL FIXTURES AND FITTINGS</t>
  </si>
  <si>
    <t>Electrical Fixtures and Fittings;</t>
  </si>
  <si>
    <t>BILL 20</t>
  </si>
  <si>
    <t>Lysaght  Roofing sheets</t>
  </si>
  <si>
    <t>t.</t>
  </si>
  <si>
    <t>W4</t>
  </si>
  <si>
    <t>Heat Insulation</t>
  </si>
  <si>
    <t>MALDIVES NATIONAL DEFENCE FORCE</t>
  </si>
  <si>
    <t>MALE', REPUBLIC OF MALDIVES</t>
  </si>
  <si>
    <t xml:space="preserve"> WALL FINISHES</t>
  </si>
  <si>
    <t>AIR CONDITIONING SYSTEM</t>
  </si>
  <si>
    <t>CEILING  FINISHES</t>
  </si>
  <si>
    <t>ADDITIONS &amp; OMISSIONS</t>
  </si>
  <si>
    <t>Cement Plaster</t>
  </si>
  <si>
    <t>Paintwork</t>
  </si>
  <si>
    <t>Tilework</t>
  </si>
  <si>
    <t>BILL 22</t>
  </si>
  <si>
    <t>BILL 23</t>
  </si>
  <si>
    <t>BILL 24</t>
  </si>
  <si>
    <t>D2</t>
  </si>
  <si>
    <t>D3</t>
  </si>
  <si>
    <t>w.</t>
  </si>
  <si>
    <t>x.</t>
  </si>
  <si>
    <t>V1</t>
  </si>
  <si>
    <t>In tile skirting (100mm high)</t>
  </si>
  <si>
    <t>Roof Covers &amp; Accessories;</t>
  </si>
  <si>
    <t>PVC Down pipe 75mm dia.</t>
  </si>
  <si>
    <t>Down spout</t>
  </si>
  <si>
    <t>In telephone network</t>
  </si>
  <si>
    <t>In data network</t>
  </si>
  <si>
    <t>In public address system</t>
  </si>
  <si>
    <t>Sawn formworks as described;</t>
  </si>
  <si>
    <t>Mild steel reinforcement as described;</t>
  </si>
  <si>
    <t>Steel Bars ( 4 - T10 )</t>
  </si>
  <si>
    <t>Galvanized Lip "C" purlins bolted on MS angle cleats with slotted holes, fully welded on top chords. including fixing of sag rods at 1000mm spacing as per manufacturer's instructions</t>
  </si>
  <si>
    <t>Allow expansion grooves in plaster wall up to 12mm wide and deep filled with sealant.</t>
  </si>
  <si>
    <t>TELECOMMUNICATION NETWORK</t>
  </si>
  <si>
    <t>BILL 18</t>
  </si>
  <si>
    <t>BILL 21</t>
  </si>
  <si>
    <t>In TV network</t>
  </si>
  <si>
    <t>In columns</t>
  </si>
  <si>
    <t>In roof beams</t>
  </si>
  <si>
    <t>MILITARY ENGINEERS</t>
  </si>
  <si>
    <t>W5</t>
  </si>
  <si>
    <t>D4</t>
  </si>
  <si>
    <t>D5</t>
  </si>
  <si>
    <t>In kitchen (1.8m high)</t>
  </si>
  <si>
    <t>units</t>
  </si>
  <si>
    <t>In all flooring</t>
  </si>
  <si>
    <t xml:space="preserve">Roof Truss (TR1) </t>
  </si>
  <si>
    <t xml:space="preserve">Roof Truss (TR2) </t>
  </si>
  <si>
    <t>BILL 15</t>
  </si>
  <si>
    <t>A.</t>
  </si>
  <si>
    <t>Sanitary &amp; water supply fixtures as described</t>
  </si>
  <si>
    <t>Water Closet w/ tank</t>
  </si>
  <si>
    <t>Muslim shower</t>
  </si>
  <si>
    <t>KDK 60" Ceiling Fan</t>
  </si>
  <si>
    <t>In cornice</t>
  </si>
  <si>
    <t>In ceiling surface.</t>
  </si>
  <si>
    <t xml:space="preserve">Fixing of plasterboard cornice to all the joining lines between wall and ceiling, as per manufacturer's instructions using the special compounds for fixing of cornice. </t>
  </si>
  <si>
    <t>Steel Bars  T10 - 300 c/c  bothways</t>
  </si>
  <si>
    <t>size : 900 x 2500h</t>
  </si>
  <si>
    <t>size : 1800 x 1600h</t>
  </si>
  <si>
    <t>size : 1200 x 1600h</t>
  </si>
  <si>
    <t>size : 600 x 440h</t>
  </si>
  <si>
    <t>size : 1500 x 400h</t>
  </si>
  <si>
    <t>size : 1200 x 1200h</t>
  </si>
  <si>
    <t>size : 3000 x 2400h</t>
  </si>
  <si>
    <t>BILL 25</t>
  </si>
  <si>
    <t>MVR</t>
  </si>
  <si>
    <t>CLIENT: MINISTRY OF DEFENCE AND NATIONAL SECURITY</t>
  </si>
  <si>
    <t>COST SUMMARY</t>
  </si>
  <si>
    <t>SITE PREPARATION</t>
  </si>
  <si>
    <t>FOUNDATION</t>
  </si>
  <si>
    <t>Clear site generally, whenever necessary cutting down trees, irrespective of sizes, grubbing roots, stumps etc. dispose of and carting debris, loose boulders, waste materials away from the site.</t>
  </si>
  <si>
    <t>Excavate for concrete footing not exceeding the given depth, get out part deposit, return, fill in and ram in making up levels where directed and remainder load and cart away as described;</t>
  </si>
  <si>
    <t>In isolated footings;</t>
  </si>
  <si>
    <t>In ground beams;</t>
  </si>
  <si>
    <t>Lean concrete (1:3:6) 50 mm thick spread and level as described;</t>
  </si>
  <si>
    <t>Sawn formworks inclusive of all shuttering, propping and slope protection as described;</t>
  </si>
  <si>
    <t>Prepare and apply bituminous damp proofing compound/damp proof membrane as per manufacturer's instructions;</t>
  </si>
  <si>
    <t xml:space="preserve">GB ( 200 x 300mm ) </t>
  </si>
  <si>
    <t>GB ( 200 x 300mm )</t>
  </si>
  <si>
    <t>Steel Bars ( T12 @175 c/c b/w)</t>
  </si>
  <si>
    <t>Steel Bars ( T12 @200 c/c b/w)</t>
  </si>
  <si>
    <t>Steel Bars ( T10 @200 c/c b/w)</t>
  </si>
  <si>
    <t>Steel Bars( 4 - T16 )</t>
  </si>
  <si>
    <t>Clean soil spread, level and compacted not exceeding depth described to receive concrete bed;</t>
  </si>
  <si>
    <t>W3</t>
  </si>
  <si>
    <t>Lysaght Gutter inclusive of clips and straps spaced 600 c/c</t>
  </si>
  <si>
    <t>RCC Floor Slab 100 mm thick</t>
  </si>
  <si>
    <t>PROJECT:  TWO STOREY FIRE STATION</t>
  </si>
  <si>
    <t>Steel Bars ( 4T-12)</t>
  </si>
  <si>
    <t xml:space="preserve">SC ( 200 x 200 x 3350 ) </t>
  </si>
  <si>
    <t>25mm plaster steel trowel finished to walls, beams and columns in external walls</t>
  </si>
  <si>
    <t>y.</t>
  </si>
  <si>
    <t>Masonry wall below NGL</t>
  </si>
  <si>
    <t>In Exterior walls</t>
  </si>
  <si>
    <t>In Interior walls</t>
  </si>
  <si>
    <t>25mm plaster steel trowel finished to walls, beams and columns in internal walls</t>
  </si>
  <si>
    <t xml:space="preserve">Prepare and apply 1-coat of interior wall putty , 1 - coat of interior Wallsealer (Sigma brand or approved equivalent) and 2-coats of Emulsion Paint (Sigma brand or approved equivalent) on surface as described; </t>
  </si>
  <si>
    <t>In dish washing area (1.8m high)</t>
  </si>
  <si>
    <t>Apply 2-coats of water proofing compound (Masterseal 550 or an approved equivalent as per manufacture's manual) on  floor area and on wall surface 600mm from FFL as described;</t>
  </si>
  <si>
    <t>In Toilet</t>
  </si>
  <si>
    <t>In Interior ceiling</t>
  </si>
  <si>
    <t>Prepare and apply 1 - coat of Alkali Resisting Primer and 2-coats of Emulsion Paint on surface as described;</t>
  </si>
  <si>
    <t>In Exterior ceiling and In toilet</t>
  </si>
  <si>
    <t>In both internal and external ceiling and on cornice.</t>
  </si>
  <si>
    <t xml:space="preserve">                   ( D6 -150 )</t>
  </si>
  <si>
    <t>Basin tap, PVC (Watertec)</t>
  </si>
  <si>
    <t>SS Grating Sheet 150x150</t>
  </si>
  <si>
    <t>Mirror 400x600 w/  corner fixing brakets</t>
  </si>
  <si>
    <t>In trench</t>
  </si>
  <si>
    <t>In trench area</t>
  </si>
  <si>
    <t xml:space="preserve">Wash basin with pedestal </t>
  </si>
  <si>
    <t>z.</t>
  </si>
  <si>
    <t>aa.</t>
  </si>
  <si>
    <t>ab.</t>
  </si>
  <si>
    <t>ac.</t>
  </si>
  <si>
    <t>ae.</t>
  </si>
  <si>
    <t>af.</t>
  </si>
  <si>
    <t>ag.</t>
  </si>
  <si>
    <t>ah.</t>
  </si>
  <si>
    <t>ai.</t>
  </si>
  <si>
    <t>aj.</t>
  </si>
  <si>
    <t>ak.</t>
  </si>
  <si>
    <t>al.</t>
  </si>
  <si>
    <t>am.</t>
  </si>
  <si>
    <t>an.</t>
  </si>
  <si>
    <t>ao.</t>
  </si>
  <si>
    <t>ap.</t>
  </si>
  <si>
    <t>Wasting plug for wash basin</t>
  </si>
  <si>
    <t>In Floor beams</t>
  </si>
  <si>
    <t>In all areas except workshop, stock room, vehicle garage and vehicle washing area</t>
  </si>
  <si>
    <t>D0</t>
  </si>
  <si>
    <t>size: as per drawing</t>
  </si>
  <si>
    <t>size : 850 x 2100h</t>
  </si>
  <si>
    <t>1 - panel solid wood decorative door w/ fixed glass on top</t>
  </si>
  <si>
    <t>Fabrication and installation of doors as specified in drawings. Rates shall be inclusive of approved hinges, locks and door closers</t>
  </si>
  <si>
    <t xml:space="preserve">1 - panel PVC door </t>
  </si>
  <si>
    <t>size : 700 x 2100h</t>
  </si>
  <si>
    <t>W0</t>
  </si>
  <si>
    <t>3 - panel side hung w/ top hung</t>
  </si>
  <si>
    <t>3 - panel sliding w/top hung</t>
  </si>
  <si>
    <t>W2</t>
  </si>
  <si>
    <t>1 - panel fixed glass</t>
  </si>
  <si>
    <t>2 - panel fixed glass</t>
  </si>
  <si>
    <t>size : 1600 x 2000h</t>
  </si>
  <si>
    <t>V0</t>
  </si>
  <si>
    <t>1- panel top hung</t>
  </si>
  <si>
    <t>Supply and installation of  timber framed internal ceiling using 9mm thick Gypsum plaster board and 2"x2" kiln-treated timber spaced at 600mm c/c b/w. inclusive of trimming, joining and fixings as required. Allow for application of putty and sanding to fair finish.</t>
  </si>
  <si>
    <t>In outdoor area</t>
  </si>
  <si>
    <t>size: 600 x 600</t>
  </si>
  <si>
    <t>Provide service opening panels using 9mm thick Gypsum plasterboard laid flush with ceiling inclusive of fixing and finishes as described;</t>
  </si>
  <si>
    <t>Power Outlet 13A x 2gang (Clipsal brand)</t>
  </si>
  <si>
    <t>Power Outlet 13A x 1gang (Clipsal brand)</t>
  </si>
  <si>
    <t>Power Outlet 15A x 1gang (Clipsal brand)</t>
  </si>
  <si>
    <t>Switch 1 gang (Clipsal brand)</t>
  </si>
  <si>
    <t>Switch 2 gang (Clipsal brand)</t>
  </si>
  <si>
    <t>Switch 3 gang (Clipsal brand)</t>
  </si>
  <si>
    <t>Switch 4 gang (Clipsal brand)</t>
  </si>
  <si>
    <t>Fan Dimmer KDK (Clipsal brand)</t>
  </si>
  <si>
    <t>KDK Ceiling fan (Orbital type)</t>
  </si>
  <si>
    <t>Exhaust fan 18", with collapsible fins (KDK)</t>
  </si>
  <si>
    <t>Power Outlet 13A x 2gang w/ waterproof cover (Clipsal brand)</t>
  </si>
  <si>
    <t xml:space="preserve">Supply, Installation &amp; testing of TV cable oulets including conduits, cables, boxes, &amp; fixtures to put the system in good operation and to adhere with the owner's requirement </t>
  </si>
  <si>
    <t xml:space="preserve">Supply, Installation &amp; testing of outlets including conduits, cables, boxes, &amp; fixtures to put the system in good operation and to adhere with the owner's requirement </t>
  </si>
  <si>
    <t>FIREFIGHTING EQUIPMENT</t>
  </si>
  <si>
    <t>Installation of pipe fittings &amp; fixtures shall be executed in conformance to local regulation &amp; to adhere with the clients requirement. Inclusive of pressure &amp; leak testing of entire system.</t>
  </si>
  <si>
    <t>Flexible gully</t>
  </si>
  <si>
    <t>FURNITURE &amp; KITCHENWARE</t>
  </si>
  <si>
    <t>Supply and Installation of approved items stated below;</t>
  </si>
  <si>
    <t>High back chair, fabric cover</t>
  </si>
  <si>
    <t>Medium back chair, fabric cover</t>
  </si>
  <si>
    <t>Computer table, with keyboard drawer  910x600x750</t>
  </si>
  <si>
    <t>4 Seater bench</t>
  </si>
  <si>
    <t>Office table 1500x750x750</t>
  </si>
  <si>
    <t>Office table 1200x750x750</t>
  </si>
  <si>
    <t>Book Shelf</t>
  </si>
  <si>
    <t>Filing cabinet</t>
  </si>
  <si>
    <t>2 Stove gas cooker</t>
  </si>
  <si>
    <r>
      <t xml:space="preserve">SC ( 200 x 200 x 3350 ), </t>
    </r>
    <r>
      <rPr>
        <i/>
        <sz val="9"/>
        <rFont val="Calibri"/>
        <family val="2"/>
        <scheme val="minor"/>
      </rPr>
      <t xml:space="preserve">2nos. </t>
    </r>
  </si>
  <si>
    <t>In Fire Control room</t>
  </si>
  <si>
    <r>
      <t xml:space="preserve">F1 ( 2000 x 2000mm ) </t>
    </r>
    <r>
      <rPr>
        <i/>
        <sz val="9"/>
        <rFont val="Calibri"/>
        <family val="2"/>
        <scheme val="minor"/>
      </rPr>
      <t>2nos.</t>
    </r>
  </si>
  <si>
    <r>
      <t xml:space="preserve">F2 ( 1600 x 1600mm ) </t>
    </r>
    <r>
      <rPr>
        <i/>
        <sz val="9"/>
        <rFont val="Calibri"/>
        <family val="2"/>
        <scheme val="minor"/>
      </rPr>
      <t>5nos.</t>
    </r>
  </si>
  <si>
    <r>
      <t xml:space="preserve">F3 ( 1400 x 1400mm ) </t>
    </r>
    <r>
      <rPr>
        <i/>
        <sz val="9"/>
        <rFont val="Calibri"/>
        <family val="2"/>
        <scheme val="minor"/>
      </rPr>
      <t>4nos.</t>
    </r>
  </si>
  <si>
    <r>
      <t xml:space="preserve">F4 ( 1200 x 1200mm ) </t>
    </r>
    <r>
      <rPr>
        <i/>
        <sz val="9"/>
        <rFont val="Calibri"/>
        <family val="2"/>
        <scheme val="minor"/>
      </rPr>
      <t>6nos.</t>
    </r>
  </si>
  <si>
    <r>
      <t>F5 ( 1000 x 1000mm ) 5</t>
    </r>
    <r>
      <rPr>
        <i/>
        <sz val="9"/>
        <rFont val="Calibri"/>
        <family val="2"/>
        <scheme val="minor"/>
      </rPr>
      <t>nos.</t>
    </r>
  </si>
  <si>
    <r>
      <t xml:space="preserve">F5 ( 1000 x 1000mm ) </t>
    </r>
    <r>
      <rPr>
        <i/>
        <sz val="9"/>
        <rFont val="Calibri"/>
        <family val="2"/>
        <scheme val="minor"/>
      </rPr>
      <t>5nos.</t>
    </r>
  </si>
  <si>
    <r>
      <t xml:space="preserve">F1 ( 2000 x 2000 x 350mm ) </t>
    </r>
    <r>
      <rPr>
        <i/>
        <sz val="9"/>
        <rFont val="Calibri"/>
        <family val="2"/>
        <scheme val="minor"/>
      </rPr>
      <t>2nos.</t>
    </r>
  </si>
  <si>
    <r>
      <t xml:space="preserve">F2 ( 1600 x 1600 x 250mm ) </t>
    </r>
    <r>
      <rPr>
        <i/>
        <sz val="9"/>
        <rFont val="Calibri"/>
        <family val="2"/>
        <scheme val="minor"/>
      </rPr>
      <t>5nos.</t>
    </r>
  </si>
  <si>
    <r>
      <t xml:space="preserve">F3 ( 1400 x 1400 x 250mm ) </t>
    </r>
    <r>
      <rPr>
        <i/>
        <sz val="9"/>
        <rFont val="Calibri"/>
        <family val="2"/>
        <scheme val="minor"/>
      </rPr>
      <t>4nos.</t>
    </r>
  </si>
  <si>
    <r>
      <t xml:space="preserve">F4 ( 1200 x 1200 x 200mm ) </t>
    </r>
    <r>
      <rPr>
        <i/>
        <sz val="9"/>
        <rFont val="Calibri"/>
        <family val="2"/>
        <scheme val="minor"/>
      </rPr>
      <t>6nos.</t>
    </r>
  </si>
  <si>
    <r>
      <t xml:space="preserve">F5 ( 1000 x 1000 x 200mm ) </t>
    </r>
    <r>
      <rPr>
        <i/>
        <sz val="9"/>
        <rFont val="Calibri"/>
        <family val="2"/>
        <scheme val="minor"/>
      </rPr>
      <t>5nos.</t>
    </r>
  </si>
  <si>
    <t>Wood Dining Table 1400 x 900 x 750  w/ 6 chairs</t>
  </si>
  <si>
    <r>
      <t xml:space="preserve">Kitchen cupboard, 8 panel, wall hung </t>
    </r>
    <r>
      <rPr>
        <i/>
        <sz val="9"/>
        <rFont val="Calibri"/>
        <family val="2"/>
        <scheme val="minor"/>
      </rPr>
      <t>in Mess Hall</t>
    </r>
  </si>
  <si>
    <r>
      <t xml:space="preserve">Kitchen cupboard, 7 panel, wall hung </t>
    </r>
    <r>
      <rPr>
        <i/>
        <sz val="9"/>
        <rFont val="Calibri"/>
        <family val="2"/>
        <scheme val="minor"/>
      </rPr>
      <t>in Kitchen</t>
    </r>
  </si>
  <si>
    <r>
      <t xml:space="preserve">Kitchen cupboard, 6 panel, wall hung </t>
    </r>
    <r>
      <rPr>
        <i/>
        <sz val="9"/>
        <rFont val="Calibri"/>
        <family val="2"/>
        <scheme val="minor"/>
      </rPr>
      <t>in Kitchen</t>
    </r>
  </si>
  <si>
    <t>In Mess Hall Counter</t>
  </si>
  <si>
    <t>In Kitchen Counter</t>
  </si>
  <si>
    <t>In dishwashing area</t>
  </si>
  <si>
    <t>Wood Dining Table 1200 x 900 x 750  w/ 4 chairs</t>
  </si>
  <si>
    <t>In Columns</t>
  </si>
  <si>
    <r>
      <t xml:space="preserve">C1 ( 250 x 200 x 4100 ), </t>
    </r>
    <r>
      <rPr>
        <i/>
        <sz val="9"/>
        <rFont val="Calibri"/>
        <family val="2"/>
        <scheme val="minor"/>
      </rPr>
      <t>4nos.</t>
    </r>
  </si>
  <si>
    <r>
      <t xml:space="preserve">C1 ( 250 x 200 x 6100 ), </t>
    </r>
    <r>
      <rPr>
        <i/>
        <sz val="9"/>
        <rFont val="Calibri"/>
        <family val="2"/>
        <scheme val="minor"/>
      </rPr>
      <t>1nos.</t>
    </r>
  </si>
  <si>
    <r>
      <t xml:space="preserve">C1 ( 250 x 200 x 3000 ), </t>
    </r>
    <r>
      <rPr>
        <i/>
        <sz val="9"/>
        <rFont val="Calibri"/>
        <family val="2"/>
        <scheme val="minor"/>
      </rPr>
      <t>4nos.</t>
    </r>
  </si>
  <si>
    <r>
      <t xml:space="preserve">C2 ( 200 x 200 x 6100 ), </t>
    </r>
    <r>
      <rPr>
        <i/>
        <sz val="9"/>
        <rFont val="Calibri"/>
        <family val="2"/>
        <scheme val="minor"/>
      </rPr>
      <t xml:space="preserve">1nos. </t>
    </r>
  </si>
  <si>
    <r>
      <t xml:space="preserve">C2 ( 200 x 200 x 4100 ), </t>
    </r>
    <r>
      <rPr>
        <i/>
        <sz val="9"/>
        <rFont val="Calibri"/>
        <family val="2"/>
        <scheme val="minor"/>
      </rPr>
      <t xml:space="preserve">16nos. </t>
    </r>
  </si>
  <si>
    <r>
      <t xml:space="preserve">C2 ( 200 x 200 x 3000 ), </t>
    </r>
    <r>
      <rPr>
        <i/>
        <sz val="9"/>
        <rFont val="Calibri"/>
        <family val="2"/>
        <scheme val="minor"/>
      </rPr>
      <t xml:space="preserve">16nos. </t>
    </r>
  </si>
  <si>
    <t xml:space="preserve">C2 ( 200 x 200 x 6100 ), 1nos </t>
  </si>
  <si>
    <t>C1 ( 200 x 250 x 3000 ) 4 nos</t>
  </si>
  <si>
    <t>C2 ( 200 x 200 x 3000 ) 16 nos</t>
  </si>
  <si>
    <t>In Floor Beams</t>
  </si>
  <si>
    <t xml:space="preserve">C2 ( 200 x 200 x 4100 ), 16nos </t>
  </si>
  <si>
    <t xml:space="preserve">C2 ( 200 x 200 x 3000 ), 16nos </t>
  </si>
  <si>
    <t>Steel Bars ( 7T-20)</t>
  </si>
  <si>
    <t>Steel Bars ( 2T-16)</t>
  </si>
  <si>
    <t>In Exterior Walls (3.1h)</t>
  </si>
  <si>
    <t>In interior Walls (3.1h)</t>
  </si>
  <si>
    <t>In Wall above roof beam</t>
  </si>
  <si>
    <t xml:space="preserve">Steel Bars ( T10 @ 150  ) bothways </t>
  </si>
  <si>
    <t>kg.</t>
  </si>
  <si>
    <r>
      <t xml:space="preserve">RCC Parapet wall 100 thk </t>
    </r>
    <r>
      <rPr>
        <i/>
        <sz val="9"/>
        <rFont val="Calibri"/>
        <family val="2"/>
        <scheme val="minor"/>
      </rPr>
      <t>in balcony</t>
    </r>
  </si>
  <si>
    <t>In Toilet and showers (2.1m high)</t>
  </si>
  <si>
    <t>In RCC counter in toilet and shower area</t>
  </si>
  <si>
    <t>In balcony</t>
  </si>
  <si>
    <t>In all areas except toilet &amp; showers and balcony</t>
  </si>
  <si>
    <t>In Toilets &amp; shower area and in balcony</t>
  </si>
  <si>
    <t>In Floor Slab</t>
  </si>
  <si>
    <t>FLOOR SLAB</t>
  </si>
  <si>
    <t>RCC Floor Slab 150 mm thick</t>
  </si>
  <si>
    <t>In Interior Ceiling</t>
  </si>
  <si>
    <t>size : 800 x 2100h</t>
  </si>
  <si>
    <t>D7</t>
  </si>
  <si>
    <t>2 - panel solid wood decorative door</t>
  </si>
  <si>
    <t>size: 1480 x 2100h</t>
  </si>
  <si>
    <t>20 - panel top hung window set</t>
  </si>
  <si>
    <t>W6</t>
  </si>
  <si>
    <t>size : as per description</t>
  </si>
  <si>
    <t>24- panel top hung window set</t>
  </si>
  <si>
    <t>W7</t>
  </si>
  <si>
    <t>9- panel top hung window set</t>
  </si>
  <si>
    <t>Power Outlet 13A x 1gang w/ waterproof cover (Clipsal brand)</t>
  </si>
  <si>
    <t>In Sitting room</t>
  </si>
  <si>
    <t>Wash basin Counter sunk</t>
  </si>
  <si>
    <t>BILL 32</t>
  </si>
  <si>
    <t xml:space="preserve">In Staircase </t>
  </si>
  <si>
    <t>In Staircase</t>
  </si>
  <si>
    <t>Steel Bars ( T10 - 150 T/B )</t>
  </si>
  <si>
    <t>In Stair case railing</t>
  </si>
  <si>
    <t>ad.</t>
  </si>
  <si>
    <t>aq.</t>
  </si>
  <si>
    <t>BILL 26</t>
  </si>
  <si>
    <t>BILL 27</t>
  </si>
  <si>
    <t>BILL 28</t>
  </si>
  <si>
    <t>BILL 29</t>
  </si>
  <si>
    <t>BILL 30</t>
  </si>
  <si>
    <t>BILL 31</t>
  </si>
  <si>
    <r>
      <t xml:space="preserve">In interior Walls (2.1h) </t>
    </r>
    <r>
      <rPr>
        <i/>
        <sz val="9"/>
        <rFont val="Calibri"/>
        <family val="2"/>
        <scheme val="minor"/>
      </rPr>
      <t>in toilet and shower area</t>
    </r>
  </si>
  <si>
    <t>-</t>
  </si>
  <si>
    <t>In wall below ground slab</t>
  </si>
  <si>
    <t>In Exterior Walls (3.3h)</t>
  </si>
  <si>
    <t>In interior Walls (3.3h)</t>
  </si>
  <si>
    <t>25mm plaster steel trowel finished the wall below grounbd slab</t>
  </si>
  <si>
    <t xml:space="preserve">                   ( R6 @ 150 )</t>
  </si>
  <si>
    <t xml:space="preserve">In Exterior Walls </t>
  </si>
  <si>
    <t>Supply, Installation and testing, of conduit pipe, fittings &amp; fixtures shall be executed as described in drawings and conformance to local regulation &amp; to adhere with Local Electrical Authority's  requirements. Rates shall include for screws, nails, bolts, nuts, brackets, straps, rivets, plugs and all incidental accesories;</t>
  </si>
  <si>
    <t>Supply, Installation and testing, of conduit pipe, fittings &amp; fixtures shall be executed as described in drawings and conformance to local regulation &amp; to adhere with Local Electrical Authority's  requirements. Rates shall include for screws, nails, bolts, nuts, brackets, straps, rivets, plugs and all incidental accessories;</t>
  </si>
  <si>
    <t>Out door Globe Light</t>
  </si>
  <si>
    <t>2 - panel steel door</t>
  </si>
  <si>
    <t>2- panel sliding steel door</t>
  </si>
  <si>
    <t>Handshower valve (watertec)</t>
  </si>
  <si>
    <t>Steel grating ( 735 x 1000 )</t>
  </si>
  <si>
    <t>BILL 33</t>
  </si>
  <si>
    <t xml:space="preserve">3 Seater Sofa </t>
  </si>
  <si>
    <t>Coffee Table</t>
  </si>
  <si>
    <t>TV rack</t>
  </si>
  <si>
    <t xml:space="preserve">Wood round Table 700 x 600h </t>
  </si>
  <si>
    <t>g</t>
  </si>
  <si>
    <t>2-Tap water cooler</t>
  </si>
  <si>
    <t>2-Tub semi-automatic washing machine</t>
  </si>
  <si>
    <t>Conference Table</t>
  </si>
  <si>
    <t>Design, Fabrication and installation of approved, 3-Bowl stainless-steel sink  as described. Rates shall include installation of pipes &amp;  fixtures for the above including connection of  water &amp; waste water line.</t>
  </si>
  <si>
    <t>Steel Bars (3- T10 @175 c/c, b/w)</t>
  </si>
  <si>
    <t>Steel Bars (4 - T12)</t>
  </si>
  <si>
    <t xml:space="preserve">                   (D6 @150 c/c)</t>
  </si>
  <si>
    <t>Steel Bars (7 - T12 @150 c/c, b/w)</t>
  </si>
  <si>
    <t>Steel Bars (6 - T12 @150 c/c, b/w)</t>
  </si>
  <si>
    <r>
      <t xml:space="preserve">In capping beam 150thk, </t>
    </r>
    <r>
      <rPr>
        <i/>
        <sz val="9"/>
        <rFont val="Calibri"/>
        <family val="2"/>
        <scheme val="minor"/>
      </rPr>
      <t>Length 108m</t>
    </r>
  </si>
  <si>
    <r>
      <t xml:space="preserve">In gate column (250 x 400 x 3500), </t>
    </r>
    <r>
      <rPr>
        <i/>
        <sz val="9"/>
        <rFont val="Calibri"/>
        <family val="2"/>
        <scheme val="minor"/>
      </rPr>
      <t>2nos</t>
    </r>
  </si>
  <si>
    <r>
      <t xml:space="preserve">In pedestrain gate column (250 x 250 x 3500), </t>
    </r>
    <r>
      <rPr>
        <i/>
        <sz val="9"/>
        <rFont val="Calibri"/>
        <family val="2"/>
        <scheme val="minor"/>
      </rPr>
      <t>2nos</t>
    </r>
  </si>
  <si>
    <r>
      <t xml:space="preserve">In stiffner column (150 x 150 x 2900) , </t>
    </r>
    <r>
      <rPr>
        <i/>
        <sz val="9"/>
        <rFont val="Calibri"/>
        <family val="2"/>
        <scheme val="minor"/>
      </rPr>
      <t>36nos</t>
    </r>
  </si>
  <si>
    <t>In pedestrain gate</t>
  </si>
  <si>
    <t>In Vehicle Gate</t>
  </si>
  <si>
    <t>5" Downlight w/ 20w Energy saving light, Daylight</t>
  </si>
  <si>
    <t>50W Energy Saving Day Light E27 w/ batten holder</t>
  </si>
  <si>
    <t>400W Flood Light IP65</t>
  </si>
  <si>
    <t>Wall Mount, outdoor Light w/ 8W Energy saving warm white</t>
  </si>
  <si>
    <t>Fabrication and installation of doors as specified in drawings. Rates shall be inclusive of approved hinges,locks and all incidential accessories,</t>
  </si>
  <si>
    <t>BILL 34</t>
  </si>
  <si>
    <t>BILL 35</t>
  </si>
  <si>
    <t>BILL 36</t>
  </si>
  <si>
    <t>BILL 37</t>
  </si>
  <si>
    <t>BILL 38</t>
  </si>
  <si>
    <t>BILL 39</t>
  </si>
  <si>
    <t>BILL 40</t>
  </si>
  <si>
    <t>TOTAL COST FOR GROUND FLOOR</t>
  </si>
  <si>
    <t>TOTAL COST FOR PERIMETER WALL</t>
  </si>
  <si>
    <t>PROJECT: TWO STOREY FIRE STATION</t>
  </si>
  <si>
    <t>Sanitary &amp; water supply fixtures</t>
  </si>
  <si>
    <t>SECTION 01 - GROUND FLOOR</t>
  </si>
  <si>
    <t>SECTION 01- GROUND FLOOR</t>
  </si>
  <si>
    <t>SECTION 02- FIRST FLOOR</t>
  </si>
  <si>
    <t>SECTION 03- PERIMETER WALL</t>
  </si>
  <si>
    <t>In Service duct, locker wall and planters</t>
  </si>
  <si>
    <t>Supply and installation of Rainwater Down pipe inclusive of fittings &amp; brackets</t>
  </si>
  <si>
    <t>SECTION 02 - FIRST FLOOR</t>
  </si>
  <si>
    <t>SECTION 03 - PERIMETER WALL</t>
  </si>
  <si>
    <t>Steel Bars ( 8-T12)</t>
  </si>
  <si>
    <t>Steel Bars ( 4-T12)</t>
  </si>
  <si>
    <t>Steel Bars (4-T12)</t>
  </si>
  <si>
    <t>Steel Bars ( 6-T16)</t>
  </si>
  <si>
    <t xml:space="preserve">                   ( 2-R6 @ 150 )</t>
  </si>
  <si>
    <t xml:space="preserve">                   ( 2R6 @ 150 )</t>
  </si>
  <si>
    <t>Steel Bars ( 4-T10)</t>
  </si>
  <si>
    <t>Steel Bars ( 6-T12)</t>
  </si>
  <si>
    <t>Steel Bars ( 2-T10)</t>
  </si>
  <si>
    <t>Fabrication and installation of Fireman slide using 3" SS pipe, inclusive of grinding, cutting, polishing, screws, flanges and fixing as described;</t>
  </si>
  <si>
    <t xml:space="preserve">In isolated footings; </t>
  </si>
  <si>
    <t>In ground beams; 0.85m from NGL</t>
  </si>
  <si>
    <t>Reinforced concrete ( 1:2:3 ) mixture using  Portland cement and imported fine and course aggregates with 40 % water cement ratio as described;</t>
  </si>
  <si>
    <t>Reinforced concrete ( 1:2:3 ) mixture using  Portland cement and imported fine and course aggregates with 40 % water cement ratio; Allow labour for leveling and steel floating on fresh concrete and provision of grooves on the finished floor to smooth cement finish to the floor levels described;</t>
  </si>
  <si>
    <t>Reinforced concrete (1:2:3) as described;</t>
  </si>
  <si>
    <t>Reinforced concrete ( 1:2:3 ) mixture using  Portland cement and imported fine and course aggregates with 40 % water cement ratio; Allow labour for leveling and steel floating on fresh concrete to smooth cement finish as described;</t>
  </si>
  <si>
    <r>
      <t xml:space="preserve">In trench area, </t>
    </r>
    <r>
      <rPr>
        <i/>
        <sz val="9"/>
        <rFont val="Calibri"/>
        <family val="2"/>
        <scheme val="minor"/>
      </rPr>
      <t>1.35m from NGL</t>
    </r>
  </si>
  <si>
    <r>
      <rPr>
        <sz val="9"/>
        <color theme="0"/>
        <rFont val="Calibri"/>
        <family val="2"/>
        <scheme val="minor"/>
      </rPr>
      <t xml:space="preserve">Steel Bars </t>
    </r>
    <r>
      <rPr>
        <sz val="9"/>
        <rFont val="Calibri"/>
        <family val="2"/>
        <scheme val="minor"/>
      </rPr>
      <t>( 2-R6 @ 150 )</t>
    </r>
  </si>
  <si>
    <r>
      <rPr>
        <sz val="9"/>
        <color theme="0"/>
        <rFont val="Calibri"/>
        <family val="2"/>
        <scheme val="minor"/>
      </rPr>
      <t>Steel Bars</t>
    </r>
    <r>
      <rPr>
        <sz val="9"/>
        <rFont val="Calibri"/>
        <family val="2"/>
        <scheme val="minor"/>
      </rPr>
      <t xml:space="preserve"> ( 2-R6 @ 150 )</t>
    </r>
  </si>
  <si>
    <t>In general flooring</t>
  </si>
  <si>
    <t>In vehicle garage area,work shop, stock room, vehicle washing area and inside the trench</t>
  </si>
  <si>
    <t>Supply and installation of approved paving blocks 50mm thick laid on levelled and compacted surface as described.</t>
  </si>
  <si>
    <t>Fabrication and installation of 6mm thick MS checkered plate cover with 6mm thick GI square hollow section frame as described, supported on 6mm thick 2"x2" GI angle rim, inclusive of cutting, grinding, welding, fixing, application of anticorrosive paint and finish with enamel paint as described;</t>
  </si>
  <si>
    <t>Supply and installation of approved Homogeneous floor tiles (300x300mm) jointed and bedded with approved tile adhesive and 2mm grout as described; Tile skirting flushed with the wall plaster; and provision of expansion grooves with filler in every 20ft of floor finish;</t>
  </si>
  <si>
    <t>Supply and installation of approved Ceramic tiles ( 300 x 450 ) jointed and bedded with approved tile adhesive, 2mm grout and provision of plastic corner bead as described;</t>
  </si>
  <si>
    <t>In Toilet (1.8m high)</t>
  </si>
  <si>
    <t>Supply and installation of  timber framed external ceiling using 6mm thick cement board and 2"x2" kiln-treated timber spaced at 600mm c/c b/w. inclusive of sawing, joining and fixing as required. Allow for application of putty and sanding to fair finish,</t>
  </si>
  <si>
    <t>1 - panel solid wooden decorative door w/ fixed glass on top</t>
  </si>
  <si>
    <t xml:space="preserve">1 - panel solid wooden decorative door </t>
  </si>
  <si>
    <t>Wall Mount, outdoor Light w/ 18W Energy saving Day light</t>
  </si>
  <si>
    <t xml:space="preserve">Supply, Installation &amp; testing of TV cable oulets including encasing conduits, cables, boxes, &amp; fixtures to put the system in good operation and to adhere with the owner's requirement </t>
  </si>
  <si>
    <t>LED Emergency light (60 LED), Ceiling mount</t>
  </si>
  <si>
    <t xml:space="preserve">Supply, Installation &amp; testing of outlets including encasing of conduits, cables, boxes, &amp; fixtures in walls, beams and columns, to put the system in good operation and to adhere with the owner's requirement </t>
  </si>
  <si>
    <t xml:space="preserve">Wash basin without pedestal </t>
  </si>
  <si>
    <t>Wash basin, coner fixing</t>
  </si>
  <si>
    <t>Water tap (Watertec)</t>
  </si>
  <si>
    <t>Prepare and apply 1-coat of primer and 2- coat of approved heavy duty floor paint on finished floor surface as described;</t>
  </si>
  <si>
    <t>Fabrication and installation of doors as described. Prepare and apply 1-coat of wood primer and 2-coats of enamel paint/ varnish on door panel and frame. Rates shall include for timber treatment, trims, joints, screws, nails and SS iron mongery and provision of approved locks and door closers;</t>
  </si>
  <si>
    <t>D0V</t>
  </si>
  <si>
    <t>D1V</t>
  </si>
  <si>
    <t>1 - panel solid wooden decorative door w/ vision glass and fixed glass on top</t>
  </si>
  <si>
    <t>1 - panel solid wooden decorative door w/ vision glass</t>
  </si>
  <si>
    <t>D3V</t>
  </si>
  <si>
    <t>size: 850 x 2500h</t>
  </si>
  <si>
    <t>1 - panel solid wooden decorative door w/ vision glass and 1-panel window</t>
  </si>
  <si>
    <t>Single panel PVC door and frame with approved SS sliding lock, SS hinges and SS screws. Allow for provision of door handle and application of sealant between door frame and wall,</t>
  </si>
  <si>
    <t>2 - panel side hung w/ top hung</t>
  </si>
  <si>
    <t>W8</t>
  </si>
  <si>
    <t>3 - panel fixed glass w/ 3-panel on top</t>
  </si>
  <si>
    <t>size : 2800 x 1900h</t>
  </si>
  <si>
    <t>W9</t>
  </si>
  <si>
    <t>2 - panel sliding w/ 2-panel on top</t>
  </si>
  <si>
    <t xml:space="preserve">Supply and installation of Aluminium Roller in its entirety </t>
  </si>
  <si>
    <t>In lintel and sill  (150 x 150)</t>
  </si>
  <si>
    <t>In lintel and sill</t>
  </si>
  <si>
    <r>
      <rPr>
        <sz val="9"/>
        <color theme="0"/>
        <rFont val="Calibri"/>
        <family val="2"/>
        <scheme val="minor"/>
      </rPr>
      <t xml:space="preserve">Steel Bars </t>
    </r>
    <r>
      <rPr>
        <sz val="9"/>
        <rFont val="Calibri"/>
        <family val="2"/>
        <scheme val="minor"/>
      </rPr>
      <t>( D6 -150 )</t>
    </r>
  </si>
  <si>
    <t>In Office (12000 BTU)</t>
  </si>
  <si>
    <t>In control room (9000 BTU)</t>
  </si>
  <si>
    <t>Assembly wiring &amp; connection of 3-phase main cable from the islands nearest distribution box to the building inclusive any other accessories required.</t>
  </si>
  <si>
    <t>Cement and sand mixtures 1:4 applied in 2 coats on masonary surface in fair face finish to receive wall finishing as described;</t>
  </si>
  <si>
    <t xml:space="preserve">Fixing of approved 6" plasterboard cornice to all the joining lines between wall and ceiling, as per manufacturer's instructions using the cornice compounds for fixing of cornice. </t>
  </si>
  <si>
    <r>
      <t>Supply and installation of Solid Bloc</t>
    </r>
    <r>
      <rPr>
        <u/>
        <sz val="9"/>
        <color theme="1"/>
        <rFont val="Calibri"/>
        <family val="2"/>
        <scheme val="minor"/>
      </rPr>
      <t>ks</t>
    </r>
    <r>
      <rPr>
        <u/>
        <sz val="9"/>
        <color theme="1"/>
        <rFont val="Calibri"/>
        <family val="2"/>
      </rPr>
      <t xml:space="preserve"> 2"x4"x8"</t>
    </r>
    <r>
      <rPr>
        <u/>
        <sz val="9"/>
        <rFont val="Calibri"/>
        <family val="2"/>
      </rPr>
      <t xml:space="preserve"> for internal walls as laid per manufacturer's instruction as described;</t>
    </r>
  </si>
  <si>
    <t>Fire Blanket</t>
  </si>
  <si>
    <t>Construction of water tank base 1.5m dia., height 500mm using CHB Blocks 4" x 6" x 12",  compacted earth and finished with 50mm 1:3:6 PCC as described. Rate shall include provision of 50mm lean concrete at 0.15m below NGL .</t>
  </si>
  <si>
    <t>In Entertainment and recreation room (18000 BTU)</t>
  </si>
  <si>
    <t xml:space="preserve">Construction of R.C.C Mess Counter, with counter top finished with 2mm thk SS sheet , fabrication of tray conveyor using 25mm &amp; 37.5mm SS bar and SS shelfs as described. Rates shall include supply and installation of approved Ceramic tiles  jointed and bedded with approved tile adhesive, 2mm grout  and provision of plastic corner bead as described;  </t>
  </si>
  <si>
    <t>In Kitchen worktop table with sink</t>
  </si>
  <si>
    <t>Design,fabrication and installation of kitchen cupboards using approved materials as per description.</t>
  </si>
  <si>
    <t>Design, fabrication and installation of approved, SS worktop table with shelves and drawers;</t>
  </si>
  <si>
    <t>Fabrication and installation of counter table as described using approved material as described;</t>
  </si>
  <si>
    <t>B1 ( 200 x 300 )</t>
  </si>
  <si>
    <t>B2 ( 200 x 300 )</t>
  </si>
  <si>
    <t>B3 ( 200 x 300 )</t>
  </si>
  <si>
    <t>B4 ( 200 x 350 )</t>
  </si>
  <si>
    <t>B5 ( 200 x 350 )</t>
  </si>
  <si>
    <t>B6 ( 200 x 400 )</t>
  </si>
  <si>
    <t>B7 ( 200 x 400 )</t>
  </si>
  <si>
    <t>CB1( 250 x 200 )</t>
  </si>
  <si>
    <t>CB1 ( 250 x 200 )</t>
  </si>
  <si>
    <r>
      <t xml:space="preserve">B8 ( 250 x 600 ) </t>
    </r>
    <r>
      <rPr>
        <i/>
        <sz val="9"/>
        <rFont val="Calibri"/>
        <family val="2"/>
        <scheme val="minor"/>
      </rPr>
      <t>provided @3500 from NGL</t>
    </r>
  </si>
  <si>
    <r>
      <t xml:space="preserve">B2 ( 250 x 300 ) </t>
    </r>
    <r>
      <rPr>
        <i/>
        <sz val="9"/>
        <rFont val="Calibri"/>
        <family val="2"/>
        <scheme val="minor"/>
      </rPr>
      <t>provided @3500 from NGL</t>
    </r>
  </si>
  <si>
    <r>
      <t xml:space="preserve">RCC Parapet wall 100 thk, </t>
    </r>
    <r>
      <rPr>
        <i/>
        <sz val="9"/>
        <rFont val="Calibri"/>
        <family val="2"/>
        <scheme val="minor"/>
      </rPr>
      <t>in balcony</t>
    </r>
  </si>
  <si>
    <r>
      <t>B2 ( 200 x 300 )</t>
    </r>
    <r>
      <rPr>
        <i/>
        <sz val="9"/>
        <rFont val="Calibri"/>
        <family val="2"/>
        <scheme val="minor"/>
      </rPr>
      <t>.</t>
    </r>
  </si>
  <si>
    <t xml:space="preserve">B4 ( 200 x 350 ) </t>
  </si>
  <si>
    <t>B8 ( 250 x 600 )</t>
  </si>
  <si>
    <t>Top Steel ( T10 - b/w @ 200 c/c )</t>
  </si>
  <si>
    <t>Bottom Steel ( T10 - b/w @ 200 c/c )</t>
  </si>
  <si>
    <r>
      <t>Supply and installation of Solid Blocks</t>
    </r>
    <r>
      <rPr>
        <u/>
        <sz val="9"/>
        <color indexed="10"/>
        <rFont val="Calibri"/>
        <family val="2"/>
      </rPr>
      <t xml:space="preserve"> </t>
    </r>
    <r>
      <rPr>
        <u/>
        <sz val="9"/>
        <rFont val="Calibri"/>
        <family val="2"/>
      </rPr>
      <t>2"x4"x8" for internal walls as laid per manufacturer's instruction as described;</t>
    </r>
  </si>
  <si>
    <t>Fabrication and installation of safety sliding gate using 40 mm  SS square hollow section(SHS) and 20mm SS SHS , inclusive of grinding, cutting, polishing, screws, flanges and fixing as described;</t>
  </si>
  <si>
    <t>Safety sliding gate</t>
  </si>
  <si>
    <t>Firemen's slide</t>
  </si>
  <si>
    <t>25mm cement screed ( 1:4 ) mixture using  Portland cement and imported fine  aggregates with 40 % water cement ratio and leveled to a smooth finish (using steel trowel ) as described;</t>
  </si>
  <si>
    <t>Supply and installation of approved Homogeneous floor tiles (300x300mm) jointed and bedded with approved tile adhesive and 2mm grout  as described; Tile skirting flushed to wall plaster &amp;  10mm expansion grooves with filler in every 20ft of floor finish;</t>
  </si>
  <si>
    <t>Supply and installation of approved non-skid Homogeneous floor tiles (300x300mm) jointed and bedded with approved tile adhesive and 2mm grout  as described. Provision of 10mm expansion grooves with filler in every 20ft of floor finish;</t>
  </si>
  <si>
    <t>In Toilets &amp; shower area and drying space</t>
  </si>
  <si>
    <r>
      <t xml:space="preserve">RCC Counter 100 thk </t>
    </r>
    <r>
      <rPr>
        <i/>
        <sz val="9"/>
        <rFont val="Calibri"/>
        <family val="2"/>
        <scheme val="minor"/>
      </rPr>
      <t>in toilet &amp; shower area</t>
    </r>
  </si>
  <si>
    <t>In Toilets &amp; shower area, drying space and in balconey</t>
  </si>
  <si>
    <t>In riser, tread and landing</t>
  </si>
  <si>
    <t>Steel Bars ( 6- T12 ),</t>
  </si>
  <si>
    <t>Fabrication and installation of SS  railing with 1 numbers of 50mm dia SS pipe as top rail  and 40mm dia SS pipe as balusters and 20mm dia SS pipes as intermediate members placed as described, inclusive of grinding, cutting, polishing, screws, flanges and fixing as described;.</t>
  </si>
  <si>
    <t>1 - panel solid wooden decorative door w/ frosted vision glass and fixed glass on top</t>
  </si>
  <si>
    <t>3- panel louver ventilator</t>
  </si>
  <si>
    <t>Aluminum casement windows with 6mm reflective glass and openable ventilators,  inclusive of all required ironmongery in SS, and application of PU sealant at all joints between wall and frame.</t>
  </si>
  <si>
    <t>W10</t>
  </si>
  <si>
    <t>12- panel top hung window set</t>
  </si>
  <si>
    <t>size : 2380 x 1600h</t>
  </si>
  <si>
    <t>Wall Mount, outdoor Light w/ 8W Energy saving, warm white</t>
  </si>
  <si>
    <t>In Conference hall (12000 BTU)</t>
  </si>
  <si>
    <t>In Sitting room (12000 BTU)</t>
  </si>
  <si>
    <t>In NCO accomodation  (12000 BTU)</t>
  </si>
  <si>
    <t>Supply and installation of CHB Blocks 4" x 6" x 12" for both internal and external walls as laid per manufacturer's instruction as described;</t>
  </si>
  <si>
    <t>Supply and installation of CHB blocks 4" x 6" x 12" for walls as laid per manufacturer's instruction as described;</t>
  </si>
  <si>
    <t>25mm plaster steel trowel finished to walls, beams and columns in wall above roof beam</t>
  </si>
  <si>
    <t>Roof Tusses &amp; covers</t>
  </si>
  <si>
    <t>Mansonary work, plastering and painting</t>
  </si>
  <si>
    <t>ROOFING</t>
  </si>
  <si>
    <r>
      <t xml:space="preserve">C1 ( 250 x 200 x 1200 ), </t>
    </r>
    <r>
      <rPr>
        <i/>
        <sz val="9"/>
        <rFont val="Calibri"/>
        <family val="2"/>
        <scheme val="minor"/>
      </rPr>
      <t>1nos.</t>
    </r>
  </si>
  <si>
    <r>
      <t xml:space="preserve">C2 ( 200 x 200 x 1200 ), </t>
    </r>
    <r>
      <rPr>
        <i/>
        <sz val="9"/>
        <rFont val="Calibri"/>
        <family val="2"/>
        <scheme val="minor"/>
      </rPr>
      <t xml:space="preserve">10nos. </t>
    </r>
  </si>
  <si>
    <r>
      <t xml:space="preserve">C1 ( 250 x 200 x 1550 ), </t>
    </r>
    <r>
      <rPr>
        <i/>
        <sz val="9"/>
        <rFont val="Calibri"/>
        <family val="2"/>
        <scheme val="minor"/>
      </rPr>
      <t>1nos.</t>
    </r>
  </si>
  <si>
    <r>
      <t xml:space="preserve">C2 ( 200 x 200 x 1550 ), </t>
    </r>
    <r>
      <rPr>
        <i/>
        <sz val="9"/>
        <rFont val="Calibri"/>
        <family val="2"/>
        <scheme val="minor"/>
      </rPr>
      <t xml:space="preserve">1nos. </t>
    </r>
  </si>
  <si>
    <t xml:space="preserve">Extension of columns and providing beam for supporting roofing trusses </t>
  </si>
  <si>
    <t>Specified for Lysaght " Trim Deck" roofing sheets, fixed in accordance to manufacturer's instruction, inclusive of all necessary accessories as described.</t>
  </si>
  <si>
    <t>In Beam (on grid A3 to E3)</t>
  </si>
  <si>
    <t>Prepare and apply 1-coat of exterior Wallsealer (Sigma brand or approved equivalent) and  2-coats of Weathershield Emulsion Paint (Sigma brand or approved equivalent) on surface as described; Allow for application of putty and sanding to fair finish;</t>
  </si>
  <si>
    <t>Prepare and apply 1 - coat of red-oxide &amp; 2 coats of aluminum paint to all surface of steel works.</t>
  </si>
  <si>
    <t xml:space="preserve">Fabrication and installation of fully welded GI pipe roof trusses as described inclusive of plates, bolts and neccesary items required for fixing truss on RCC beam; </t>
  </si>
  <si>
    <t>25 x 180 mm Fascia board</t>
  </si>
  <si>
    <t>Fabrication and installation of Lysaght apron, end and wall  flashings where required; Rates shall include for sealant,  roofing tape, screws and neccesary items;</t>
  </si>
  <si>
    <t>Connection of rain water down pipes from building rear to sintex tanks inclusive of fittings and necessary connections;</t>
  </si>
  <si>
    <t>Construction and installation of soak pits (300 x 400 x600) with solid blocks 2"x4"x8", filled with gravel for downspouts at front of building.</t>
  </si>
  <si>
    <t>40mm cement screed ( 1:4 ) mixture using  Portland cement and imported fine  aggregates with 40 % water cement ratio and leveled (using steel trowel ) as described;</t>
  </si>
  <si>
    <t>Prepare and apply 1-coat of exterior Wallsealer (Sigma brand or approved equivalent) and 2-coats of Weathershield Emulsion Paint (Sigma brand or approved equivalent) on surface as described; Allow for application of putty and sanding to fair finish;</t>
  </si>
  <si>
    <t>Prepare and apply 1 - coat of interior Wallsealer (Sigma brand or approved equivalent) and 2-coats of Interior Paint (Sigma brand or approved equivalent) on surface as described; Allow for application of putty and sanding to fair finish;</t>
  </si>
  <si>
    <t>Design, fabrication and installation of approved, SS worktop tables with shelves, drawers and single bowl kitchen sink and long neck faucet. Rates shall include installation of pipes &amp;  fixtures for the above including connection of  water &amp; waste water line.</t>
  </si>
  <si>
    <t>Supply and installation of 3nos. 2500 liter SINTEX water tank,lay and connect the tanks with provisions of ball valves as described. Connection of municipal water to water tank and provision of  float valve and connecting overflow to well.</t>
  </si>
  <si>
    <t>Installation of pipes &amp; fittings for the above including connection of waste water &amp; sewer lines to septic tank. Rates shall include for providing separate greywater and blackwater waste lines as described;</t>
  </si>
  <si>
    <t>Supply, Installation and testing of split-type inverter air-conditioning system as per manufacturer's instruction and roughing in of necessary pipe lines to and from indoor and outdoor units as well as connection of power and commissioning of the whole system.</t>
  </si>
  <si>
    <t>Supply &amp; installation of Wire/conduit/boxes/trays for the above encased in walls, beams and columns;</t>
  </si>
  <si>
    <t>Supply &amp; installation of Distribution board inclusive of circuit breakers, connections and any other accessories required;</t>
  </si>
  <si>
    <t>Supply &amp; installation of Main distribution board inclusive of current meters,circuit breakers, connections and any other accessories required;</t>
  </si>
  <si>
    <t>m²</t>
  </si>
  <si>
    <r>
      <t>m</t>
    </r>
    <r>
      <rPr>
        <sz val="9"/>
        <rFont val="Calibri"/>
        <family val="2"/>
      </rPr>
      <t>³</t>
    </r>
  </si>
  <si>
    <t>m³</t>
  </si>
  <si>
    <t>In office area</t>
  </si>
  <si>
    <t>size : 1950 x 1750h</t>
  </si>
  <si>
    <t>size : 600 x 1710h</t>
  </si>
  <si>
    <t>In fire control room</t>
  </si>
  <si>
    <t>size : 1750 x 2150h</t>
  </si>
  <si>
    <t>size : 1250 x 1750h</t>
  </si>
  <si>
    <t>In mess hall</t>
  </si>
  <si>
    <t>In Entertainment and recreation room</t>
  </si>
  <si>
    <t>Supply and installation of vertical blinds of approved design pattern inclusive of rail, pins and necessary items as described;</t>
  </si>
  <si>
    <t>Supply and installation of curtain; single, standard pleat design, of approved fabric and design pattern inclusive of rail, pins and necessary items as described;</t>
  </si>
  <si>
    <t>In Conference Hall</t>
  </si>
  <si>
    <t>size : as described</t>
  </si>
  <si>
    <t>size : 1950 x 1900 h</t>
  </si>
  <si>
    <t>size : 1350 x 1900h</t>
  </si>
  <si>
    <t>size : 2950 x 2200h</t>
  </si>
  <si>
    <t>size : 1950 x 1900h</t>
  </si>
  <si>
    <t>In Accomodation</t>
  </si>
  <si>
    <t>In NCO Accomodation</t>
  </si>
  <si>
    <t>Allow for provision of sloped concrete bed in trench base</t>
  </si>
  <si>
    <t>ar.</t>
  </si>
  <si>
    <t>as.</t>
  </si>
  <si>
    <r>
      <t>DATE: 27</t>
    </r>
    <r>
      <rPr>
        <vertAlign val="superscript"/>
        <sz val="9"/>
        <rFont val="Calibri"/>
        <family val="2"/>
        <scheme val="minor"/>
      </rPr>
      <t>th</t>
    </r>
    <r>
      <rPr>
        <sz val="9"/>
        <rFont val="Calibri"/>
        <family val="2"/>
        <scheme val="minor"/>
      </rPr>
      <t xml:space="preserve"> MAY 2015</t>
    </r>
  </si>
  <si>
    <t>Photocell switch</t>
  </si>
  <si>
    <t>Supply &amp; installation of Wire/conduit/boxes/trays of the above inclusive of necessary connections. Conduit encased in walls, columns &amp; beams;</t>
  </si>
  <si>
    <t>Provide 1 coat of Red Oxide and 2 Coats of Enamel Paint to all surface of pipe, angle, clip, plates and other metal surfaces</t>
  </si>
  <si>
    <t>In Steel gates</t>
  </si>
  <si>
    <r>
      <t xml:space="preserve">B2 ( 250 x 300 ) </t>
    </r>
    <r>
      <rPr>
        <i/>
        <sz val="9"/>
        <rFont val="Calibri"/>
        <family val="2"/>
        <scheme val="minor"/>
      </rPr>
      <t>@3500 from NGL</t>
    </r>
  </si>
  <si>
    <r>
      <t xml:space="preserve">B8 ( 250 x 600 ) </t>
    </r>
    <r>
      <rPr>
        <i/>
        <sz val="9"/>
        <rFont val="Calibri"/>
        <family val="2"/>
        <scheme val="minor"/>
      </rPr>
      <t>@3500 from NGL</t>
    </r>
  </si>
  <si>
    <t>STAIRCASE</t>
  </si>
  <si>
    <t xml:space="preserve">Mortar screed (1:4 ) 20mm thick on concrete surface finished with steel trowel. Supply and installation of approved homogeneous tiles jointed and bedded with approved tile adhesive, 2mm grout and provision of nosing tiles as described; Rates shall include for plasterwork required to finish fair on sides/surfaces of staircase; </t>
  </si>
  <si>
    <t>In Columns (on grid A3,A4,B3,D1,D2,D3,E1,E2,E3,E4,E5)</t>
  </si>
  <si>
    <t>In Columns (on grid B1,B2)</t>
  </si>
  <si>
    <t xml:space="preserve">Construction and installation of RCC septic tank, catch basins, clean outs as described; </t>
  </si>
  <si>
    <t>Construction and installation of a standard grease trap, lay and connect from the kitchen waste line and outflow to septic tank as described.</t>
  </si>
  <si>
    <t>Construction of  RCC  6 feet dia underground water well, water level of the well shall be maintained @ 6 feet @ at low tide level. Rates shall include for provision of RCC well cover with service opening.</t>
  </si>
  <si>
    <t>Installation and connection of pipes &amp; fittings for municipal water, fresh water (water tank) and well water supply  inclusive necessary valves and appropriate pumps for both fresh and well water supply.</t>
  </si>
  <si>
    <t>Installation and connection of pipes &amp; fittings for municipal water, fresh water (water tank) supply and well water connection inclusive necessary valves as described;</t>
  </si>
  <si>
    <t>Supply, Installation and testing of  split-type inverter air-conditioning system as per manufacturer's instruction and roughing in of necessary pipe lines to and from indoor and outdoor units as well as connection of power and commissioning of the whole system.</t>
  </si>
  <si>
    <t>In ground beam (200x 250)</t>
  </si>
  <si>
    <r>
      <t xml:space="preserve">In gate column foundation (1000 x 850 x 300) </t>
    </r>
    <r>
      <rPr>
        <i/>
        <sz val="9"/>
        <rFont val="Calibri"/>
        <family val="2"/>
        <scheme val="minor"/>
      </rPr>
      <t>2nos</t>
    </r>
  </si>
  <si>
    <r>
      <t xml:space="preserve">In pedestrain gate column foundation (850 x 850) </t>
    </r>
    <r>
      <rPr>
        <i/>
        <sz val="9"/>
        <rFont val="Calibri"/>
        <family val="2"/>
        <scheme val="minor"/>
      </rPr>
      <t>2nos</t>
    </r>
  </si>
  <si>
    <r>
      <t xml:space="preserve">In stiffner column foundation (450 x 450 x 300) </t>
    </r>
    <r>
      <rPr>
        <i/>
        <sz val="9"/>
        <rFont val="Calibri"/>
        <family val="2"/>
        <scheme val="minor"/>
      </rPr>
      <t>36nos</t>
    </r>
  </si>
  <si>
    <t>Cement and sand mixtures 1:4 applied in 2 coats on masonary surface in fair face finish to receive wall finishing as described; Allow for provision of 50mm chamfer on wall top surface</t>
  </si>
  <si>
    <t>Steel Bars (5-T16)</t>
  </si>
  <si>
    <t>Steel Bars (6-T16)</t>
  </si>
  <si>
    <t>Steel Bars (7-T16)</t>
  </si>
  <si>
    <t>Steel Bars (7-T20)</t>
  </si>
  <si>
    <t>Wet Chemical 6 Kg</t>
  </si>
  <si>
    <t>Dry Chemical powder 6 Kg</t>
  </si>
  <si>
    <t>Supply and install fire fighting equipment as described inclusive of all necessary connections and to suit with item below as per local fire regulation.</t>
  </si>
  <si>
    <t>Carbon Dioxide, Fire Extinguisher 2 Kg</t>
  </si>
  <si>
    <t>Water 9ltr, Fire Extinguisher</t>
  </si>
  <si>
    <t>Reinforced concrete ( 1:2:3 ) mixture using  Portland cement and imported fine and course aggregates with 40 % water cement ratio; Allow labour for leveling and steel floating on fresh concrete and provision of slopes, grooves on the finished floor to smooth cement finish to the floor levels described;</t>
  </si>
  <si>
    <t>BILL OF QUANTITIES</t>
  </si>
  <si>
    <t>GROUND FLOOR</t>
  </si>
  <si>
    <t>FIRST FLOOR</t>
  </si>
  <si>
    <t>PERIMETER WALL</t>
  </si>
  <si>
    <t>TOTAL COST OF THE PROJECT</t>
  </si>
  <si>
    <r>
      <t>TOTAL COST OF THE PROJECT / m</t>
    </r>
    <r>
      <rPr>
        <b/>
        <vertAlign val="superscript"/>
        <sz val="11"/>
        <rFont val="Calibri"/>
        <family val="2"/>
        <scheme val="minor"/>
      </rPr>
      <t>2</t>
    </r>
  </si>
  <si>
    <r>
      <t xml:space="preserve">DURATION: </t>
    </r>
    <r>
      <rPr>
        <sz val="11"/>
        <rFont val="Calibri"/>
        <family val="2"/>
        <scheme val="minor"/>
      </rPr>
      <t>______ DAYS</t>
    </r>
  </si>
  <si>
    <t>PROJECT:TWO STOREY FIRE STATION</t>
  </si>
  <si>
    <t>TWO STOREY FIRE STATION</t>
  </si>
  <si>
    <t>LOCATION: S.HULHUMEEDHOO</t>
  </si>
  <si>
    <t>Supply and installation of approved Ceramic tiles (300 x 450) jointed and bedded with approved tile adhesive, 2mm grout and provision of plastic corner bead as described;</t>
  </si>
  <si>
    <t>1) The contractor shall ascertain that the work characters stipulated herein shall complete the whole of the work. No changes or variation whatsoever shall be entertained unless otherwise the written instruction from the owner or owner's originated changes order.</t>
  </si>
  <si>
    <t>2) All materials shall be of  approved quality delivered and fixed in first class workmanship.</t>
  </si>
  <si>
    <t>S.HULHUMEEDHOO</t>
  </si>
</sst>
</file>

<file path=xl/styles.xml><?xml version="1.0" encoding="utf-8"?>
<styleSheet xmlns="http://schemas.openxmlformats.org/spreadsheetml/2006/main">
  <numFmts count="4">
    <numFmt numFmtId="43" formatCode="_(* #,##0.00_);_(* \(#,##0.00\);_(* &quot;-&quot;??_);_(@_)"/>
    <numFmt numFmtId="164" formatCode="_-* #,##0.00_-;\-* #,##0.00_-;_-* &quot;-&quot;??_-;_-@_-"/>
    <numFmt numFmtId="165" formatCode="0.0"/>
    <numFmt numFmtId="166" formatCode="#,##0.00;[Red]#,##0.00"/>
  </numFmts>
  <fonts count="30">
    <font>
      <sz val="10"/>
      <name val="Arial"/>
    </font>
    <font>
      <sz val="10"/>
      <name val="MS Sans Serif"/>
      <family val="2"/>
    </font>
    <font>
      <b/>
      <sz val="9"/>
      <name val="Calibri"/>
      <family val="2"/>
      <scheme val="minor"/>
    </font>
    <font>
      <sz val="9"/>
      <name val="Calibri"/>
      <family val="2"/>
      <scheme val="minor"/>
    </font>
    <font>
      <b/>
      <i/>
      <sz val="9"/>
      <name val="Calibri"/>
      <family val="2"/>
      <scheme val="minor"/>
    </font>
    <font>
      <b/>
      <u/>
      <sz val="9"/>
      <name val="Calibri"/>
      <family val="2"/>
      <scheme val="minor"/>
    </font>
    <font>
      <u/>
      <sz val="9"/>
      <name val="Calibri"/>
      <family val="2"/>
      <scheme val="minor"/>
    </font>
    <font>
      <i/>
      <sz val="9"/>
      <name val="Calibri"/>
      <family val="2"/>
      <scheme val="minor"/>
    </font>
    <font>
      <b/>
      <i/>
      <u/>
      <sz val="9"/>
      <name val="Calibri"/>
      <family val="2"/>
      <scheme val="minor"/>
    </font>
    <font>
      <sz val="10"/>
      <name val="Arial"/>
      <family val="2"/>
    </font>
    <font>
      <sz val="10"/>
      <name val="MS Sans Serif"/>
      <family val="2"/>
    </font>
    <font>
      <sz val="9"/>
      <color rgb="FFFF0000"/>
      <name val="Calibri"/>
      <family val="2"/>
      <scheme val="minor"/>
    </font>
    <font>
      <vertAlign val="superscript"/>
      <sz val="9"/>
      <name val="Calibri"/>
      <family val="2"/>
      <scheme val="minor"/>
    </font>
    <font>
      <b/>
      <sz val="14"/>
      <name val="Calibri"/>
      <family val="2"/>
      <scheme val="minor"/>
    </font>
    <font>
      <u/>
      <sz val="9"/>
      <color indexed="10"/>
      <name val="Calibri"/>
      <family val="2"/>
    </font>
    <font>
      <u/>
      <sz val="9"/>
      <name val="Calibri"/>
      <family val="2"/>
    </font>
    <font>
      <sz val="9"/>
      <color theme="0"/>
      <name val="Calibri"/>
      <family val="2"/>
      <scheme val="minor"/>
    </font>
    <font>
      <sz val="9"/>
      <color theme="1"/>
      <name val="Calibri"/>
      <family val="2"/>
      <scheme val="minor"/>
    </font>
    <font>
      <u/>
      <sz val="9"/>
      <color theme="1"/>
      <name val="Calibri"/>
      <family val="2"/>
    </font>
    <font>
      <u/>
      <sz val="9"/>
      <color theme="1"/>
      <name val="Calibri"/>
      <family val="2"/>
      <scheme val="minor"/>
    </font>
    <font>
      <b/>
      <u/>
      <sz val="14"/>
      <name val="Calibri"/>
      <family val="2"/>
      <scheme val="minor"/>
    </font>
    <font>
      <sz val="9"/>
      <name val="Calibri"/>
      <family val="2"/>
    </font>
    <font>
      <u/>
      <sz val="10"/>
      <name val="Calibri"/>
      <family val="2"/>
      <scheme val="minor"/>
    </font>
    <font>
      <i/>
      <sz val="10"/>
      <name val="Calibri"/>
      <family val="2"/>
      <scheme val="minor"/>
    </font>
    <font>
      <b/>
      <sz val="8"/>
      <name val="Calibri"/>
      <family val="2"/>
      <scheme val="minor"/>
    </font>
    <font>
      <b/>
      <sz val="26"/>
      <name val="Calibri"/>
      <family val="2"/>
      <scheme val="minor"/>
    </font>
    <font>
      <sz val="11"/>
      <name val="Calibri"/>
      <family val="2"/>
      <scheme val="minor"/>
    </font>
    <font>
      <b/>
      <u/>
      <sz val="11"/>
      <name val="Calibri"/>
      <family val="2"/>
      <scheme val="minor"/>
    </font>
    <font>
      <b/>
      <sz val="11"/>
      <name val="Calibri"/>
      <family val="2"/>
      <scheme val="minor"/>
    </font>
    <font>
      <b/>
      <vertAlign val="superscript"/>
      <sz val="11"/>
      <name val="Calibri"/>
      <family val="2"/>
      <scheme val="minor"/>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rgb="FFFFFFFF"/>
        <bgColor rgb="FF000000"/>
      </patternFill>
    </fill>
    <fill>
      <patternFill patternType="solid">
        <fgColor theme="0"/>
        <bgColor rgb="FF000000"/>
      </patternFill>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auto="1"/>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14">
    <xf numFmtId="0" fontId="0"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9" fillId="0" borderId="0"/>
    <xf numFmtId="0" fontId="10" fillId="0" borderId="0"/>
    <xf numFmtId="0" fontId="10" fillId="0" borderId="0"/>
    <xf numFmtId="164" fontId="9" fillId="0" borderId="0" applyFont="0" applyFill="0" applyBorder="0" applyAlignment="0" applyProtection="0"/>
    <xf numFmtId="43" fontId="10" fillId="0" borderId="0" applyFont="0" applyFill="0" applyBorder="0" applyAlignment="0" applyProtection="0"/>
    <xf numFmtId="49" fontId="10" fillId="0" borderId="0"/>
    <xf numFmtId="49" fontId="1" fillId="0" borderId="0"/>
    <xf numFmtId="43" fontId="1" fillId="0" borderId="0" applyFont="0" applyFill="0" applyBorder="0" applyAlignment="0" applyProtection="0"/>
  </cellStyleXfs>
  <cellXfs count="500">
    <xf numFmtId="0" fontId="0" fillId="0" borderId="0" xfId="0"/>
    <xf numFmtId="0" fontId="3" fillId="0" borderId="5" xfId="7" applyFont="1" applyFill="1" applyBorder="1" applyAlignment="1" applyProtection="1">
      <alignment horizontal="left" wrapText="1"/>
      <protection locked="0"/>
    </xf>
    <xf numFmtId="0" fontId="3" fillId="0" borderId="5" xfId="4" applyFont="1" applyFill="1" applyBorder="1" applyAlignment="1" applyProtection="1">
      <alignment horizontal="left" wrapText="1"/>
      <protection locked="0"/>
    </xf>
    <xf numFmtId="0" fontId="3" fillId="0" borderId="5" xfId="4" applyFont="1" applyFill="1" applyBorder="1" applyAlignment="1" applyProtection="1">
      <alignment horizontal="center" wrapText="1"/>
      <protection locked="0"/>
    </xf>
    <xf numFmtId="0" fontId="3" fillId="4" borderId="5" xfId="4" applyFont="1" applyFill="1" applyBorder="1" applyAlignment="1" applyProtection="1">
      <alignment horizontal="left" wrapText="1"/>
      <protection locked="0"/>
    </xf>
    <xf numFmtId="0" fontId="3" fillId="0" borderId="5" xfId="4" applyFont="1" applyFill="1" applyBorder="1" applyAlignment="1" applyProtection="1">
      <alignment horizontal="left" vertical="top" wrapText="1"/>
      <protection locked="0"/>
    </xf>
    <xf numFmtId="4" fontId="3" fillId="4" borderId="5" xfId="7" applyNumberFormat="1" applyFont="1" applyFill="1" applyBorder="1" applyAlignment="1" applyProtection="1">
      <alignment horizontal="right" wrapText="1"/>
      <protection locked="0"/>
    </xf>
    <xf numFmtId="4" fontId="3" fillId="0" borderId="5" xfId="7" applyNumberFormat="1" applyFont="1" applyFill="1" applyBorder="1" applyAlignment="1" applyProtection="1">
      <alignment horizontal="right" wrapText="1"/>
      <protection locked="0"/>
    </xf>
    <xf numFmtId="0" fontId="3" fillId="4" borderId="0" xfId="4" applyFont="1" applyFill="1" applyBorder="1" applyAlignment="1" applyProtection="1">
      <alignment wrapText="1"/>
      <protection locked="0"/>
    </xf>
    <xf numFmtId="0" fontId="3" fillId="4" borderId="0" xfId="6" applyNumberFormat="1" applyFont="1" applyFill="1" applyBorder="1" applyAlignment="1" applyProtection="1">
      <alignment horizontal="left"/>
      <protection locked="0"/>
    </xf>
    <xf numFmtId="0" fontId="3" fillId="4" borderId="0" xfId="6" applyNumberFormat="1" applyFont="1" applyFill="1" applyBorder="1" applyAlignment="1" applyProtection="1">
      <alignment horizontal="center"/>
      <protection locked="0"/>
    </xf>
    <xf numFmtId="0" fontId="3" fillId="4" borderId="0" xfId="6" applyNumberFormat="1" applyFont="1" applyFill="1" applyBorder="1" applyAlignment="1" applyProtection="1">
      <alignment horizontal="right"/>
      <protection locked="0"/>
    </xf>
    <xf numFmtId="0" fontId="3" fillId="4" borderId="0" xfId="1" applyNumberFormat="1" applyFont="1" applyFill="1" applyBorder="1" applyAlignment="1" applyProtection="1">
      <alignment horizontal="left"/>
      <protection locked="0"/>
    </xf>
    <xf numFmtId="0" fontId="3" fillId="4" borderId="0" xfId="4" applyFont="1" applyFill="1" applyBorder="1" applyAlignment="1" applyProtection="1">
      <protection locked="0"/>
    </xf>
    <xf numFmtId="0" fontId="3" fillId="4" borderId="0" xfId="6" applyFont="1" applyFill="1" applyBorder="1" applyAlignment="1" applyProtection="1">
      <alignment horizontal="left"/>
      <protection locked="0"/>
    </xf>
    <xf numFmtId="4" fontId="3" fillId="4" borderId="0" xfId="6" applyNumberFormat="1" applyFont="1" applyFill="1" applyBorder="1" applyAlignment="1" applyProtection="1">
      <alignment horizontal="center"/>
      <protection locked="0"/>
    </xf>
    <xf numFmtId="4" fontId="3" fillId="4" borderId="0" xfId="6" applyNumberFormat="1" applyFont="1" applyFill="1" applyBorder="1" applyAlignment="1" applyProtection="1">
      <alignment horizontal="right"/>
      <protection locked="0"/>
    </xf>
    <xf numFmtId="2" fontId="3" fillId="4" borderId="0" xfId="6" applyNumberFormat="1" applyFont="1" applyFill="1" applyBorder="1" applyAlignment="1" applyProtection="1">
      <alignment horizontal="left"/>
      <protection locked="0"/>
    </xf>
    <xf numFmtId="43" fontId="3" fillId="4" borderId="0" xfId="1" applyFont="1" applyFill="1" applyBorder="1" applyAlignment="1" applyProtection="1">
      <alignment horizontal="left"/>
      <protection locked="0"/>
    </xf>
    <xf numFmtId="165" fontId="3" fillId="4" borderId="0" xfId="6" applyNumberFormat="1" applyFont="1" applyFill="1" applyBorder="1" applyAlignment="1" applyProtection="1">
      <alignment horizontal="left"/>
      <protection locked="0"/>
    </xf>
    <xf numFmtId="0" fontId="3" fillId="4" borderId="0" xfId="4" applyFont="1" applyFill="1" applyBorder="1" applyAlignment="1" applyProtection="1">
      <alignment horizontal="center" wrapText="1"/>
      <protection locked="0"/>
    </xf>
    <xf numFmtId="4" fontId="3" fillId="4" borderId="0" xfId="4" applyNumberFormat="1" applyFont="1" applyFill="1" applyBorder="1" applyAlignment="1" applyProtection="1">
      <alignment horizontal="center" wrapText="1"/>
      <protection locked="0"/>
    </xf>
    <xf numFmtId="4" fontId="3" fillId="4" borderId="0" xfId="4" applyNumberFormat="1" applyFont="1" applyFill="1" applyBorder="1" applyAlignment="1" applyProtection="1">
      <alignment horizontal="right" wrapText="1"/>
      <protection locked="0"/>
    </xf>
    <xf numFmtId="0" fontId="3" fillId="4" borderId="0" xfId="4" applyFont="1" applyFill="1" applyBorder="1" applyAlignment="1" applyProtection="1">
      <alignment horizontal="center"/>
      <protection locked="0"/>
    </xf>
    <xf numFmtId="4" fontId="3" fillId="4" borderId="0" xfId="4" applyNumberFormat="1" applyFont="1" applyFill="1" applyBorder="1" applyAlignment="1" applyProtection="1">
      <alignment horizontal="center"/>
      <protection locked="0"/>
    </xf>
    <xf numFmtId="0" fontId="26" fillId="4" borderId="0" xfId="4" applyFont="1" applyFill="1" applyBorder="1" applyAlignment="1" applyProtection="1">
      <alignment wrapText="1"/>
      <protection locked="0"/>
    </xf>
    <xf numFmtId="0" fontId="26" fillId="4" borderId="12" xfId="4" applyNumberFormat="1" applyFont="1" applyFill="1" applyBorder="1" applyAlignment="1" applyProtection="1">
      <alignment horizontal="right"/>
      <protection locked="0"/>
    </xf>
    <xf numFmtId="0" fontId="26" fillId="4" borderId="13" xfId="4" applyNumberFormat="1" applyFont="1" applyFill="1" applyBorder="1" applyAlignment="1" applyProtection="1">
      <alignment horizontal="right"/>
      <protection locked="0"/>
    </xf>
    <xf numFmtId="0" fontId="27" fillId="4" borderId="0" xfId="6" applyFont="1" applyFill="1" applyBorder="1" applyAlignment="1" applyProtection="1">
      <alignment horizontal="center"/>
      <protection locked="0"/>
    </xf>
    <xf numFmtId="4" fontId="26" fillId="4" borderId="0" xfId="4" applyNumberFormat="1" applyFont="1" applyFill="1" applyBorder="1" applyAlignment="1" applyProtection="1">
      <alignment horizontal="center"/>
      <protection locked="0"/>
    </xf>
    <xf numFmtId="4" fontId="26" fillId="4" borderId="0" xfId="4" applyNumberFormat="1" applyFont="1" applyFill="1" applyBorder="1" applyAlignment="1" applyProtection="1">
      <alignment horizontal="right"/>
      <protection locked="0"/>
    </xf>
    <xf numFmtId="0" fontId="26" fillId="4" borderId="0" xfId="4" applyFont="1" applyFill="1" applyBorder="1" applyAlignment="1" applyProtection="1">
      <protection locked="0"/>
    </xf>
    <xf numFmtId="0" fontId="26" fillId="4" borderId="2" xfId="4" applyNumberFormat="1" applyFont="1" applyFill="1" applyBorder="1" applyAlignment="1" applyProtection="1">
      <alignment horizontal="right"/>
      <protection locked="0"/>
    </xf>
    <xf numFmtId="0" fontId="26" fillId="4" borderId="3" xfId="4" applyNumberFormat="1" applyFont="1" applyFill="1" applyBorder="1" applyAlignment="1" applyProtection="1">
      <alignment horizontal="right"/>
      <protection locked="0"/>
    </xf>
    <xf numFmtId="0" fontId="28" fillId="4" borderId="0" xfId="4" applyFont="1" applyFill="1" applyBorder="1" applyAlignment="1" applyProtection="1">
      <protection locked="0"/>
    </xf>
    <xf numFmtId="0" fontId="13" fillId="4" borderId="0" xfId="6" applyNumberFormat="1" applyFont="1" applyFill="1" applyBorder="1" applyAlignment="1" applyProtection="1">
      <alignment horizontal="left"/>
    </xf>
    <xf numFmtId="0" fontId="3" fillId="4" borderId="0" xfId="6" applyNumberFormat="1" applyFont="1" applyFill="1" applyBorder="1" applyAlignment="1" applyProtection="1">
      <alignment horizontal="left"/>
    </xf>
    <xf numFmtId="0" fontId="3" fillId="4" borderId="0" xfId="6" applyNumberFormat="1" applyFont="1" applyFill="1" applyBorder="1" applyAlignment="1" applyProtection="1">
      <alignment horizontal="center"/>
    </xf>
    <xf numFmtId="0" fontId="3" fillId="4" borderId="0" xfId="4" applyNumberFormat="1" applyFont="1" applyFill="1" applyBorder="1" applyAlignment="1" applyProtection="1"/>
    <xf numFmtId="0" fontId="3" fillId="0" borderId="0" xfId="6" applyFont="1" applyFill="1" applyBorder="1" applyAlignment="1" applyProtection="1">
      <alignment horizontal="left" vertical="top"/>
    </xf>
    <xf numFmtId="0" fontId="2" fillId="4" borderId="0" xfId="6" applyNumberFormat="1" applyFont="1" applyFill="1" applyBorder="1" applyAlignment="1" applyProtection="1"/>
    <xf numFmtId="0" fontId="3" fillId="4" borderId="0" xfId="6" quotePrefix="1" applyNumberFormat="1" applyFont="1" applyFill="1" applyBorder="1" applyAlignment="1" applyProtection="1">
      <alignment horizontal="center"/>
    </xf>
    <xf numFmtId="0" fontId="3" fillId="0" borderId="0" xfId="0" applyFont="1" applyFill="1" applyBorder="1" applyAlignment="1" applyProtection="1">
      <alignment vertical="top"/>
    </xf>
    <xf numFmtId="0" fontId="3" fillId="0" borderId="0" xfId="0" applyFont="1" applyFill="1" applyBorder="1" applyAlignment="1" applyProtection="1">
      <alignment horizontal="left" vertical="top"/>
    </xf>
    <xf numFmtId="0" fontId="3" fillId="4" borderId="0" xfId="6" quotePrefix="1" applyFont="1" applyFill="1" applyBorder="1" applyAlignment="1" applyProtection="1">
      <alignment horizontal="left"/>
    </xf>
    <xf numFmtId="0" fontId="3" fillId="4" borderId="0" xfId="4" applyFont="1" applyFill="1" applyBorder="1" applyAlignment="1" applyProtection="1"/>
    <xf numFmtId="0" fontId="3" fillId="4" borderId="0" xfId="6" applyFont="1" applyFill="1" applyBorder="1" applyAlignment="1" applyProtection="1">
      <alignment horizontal="center"/>
    </xf>
    <xf numFmtId="0" fontId="3" fillId="4" borderId="0" xfId="4" applyFont="1" applyFill="1" applyBorder="1" applyAlignment="1" applyProtection="1">
      <alignment horizontal="center" wrapText="1"/>
    </xf>
    <xf numFmtId="0" fontId="3" fillId="4" borderId="0" xfId="4" applyFont="1" applyFill="1" applyBorder="1" applyAlignment="1" applyProtection="1">
      <alignment wrapText="1"/>
    </xf>
    <xf numFmtId="0" fontId="3" fillId="4" borderId="0" xfId="4" applyFont="1" applyFill="1" applyBorder="1" applyAlignment="1" applyProtection="1">
      <alignment horizontal="left" wrapText="1"/>
    </xf>
    <xf numFmtId="0" fontId="20" fillId="4" borderId="0" xfId="6" applyNumberFormat="1" applyFont="1" applyFill="1" applyBorder="1" applyAlignment="1" applyProtection="1">
      <alignment horizontal="left" indent="20"/>
    </xf>
    <xf numFmtId="0" fontId="5" fillId="4" borderId="0" xfId="6" applyFont="1" applyFill="1" applyBorder="1" applyAlignment="1" applyProtection="1">
      <alignment horizontal="center"/>
    </xf>
    <xf numFmtId="0" fontId="2" fillId="4" borderId="0" xfId="4" applyFont="1" applyFill="1" applyBorder="1" applyAlignment="1" applyProtection="1">
      <alignment horizontal="center"/>
    </xf>
    <xf numFmtId="0" fontId="2" fillId="4" borderId="0" xfId="4" applyFont="1" applyFill="1" applyBorder="1" applyAlignment="1" applyProtection="1">
      <alignment horizontal="left"/>
    </xf>
    <xf numFmtId="0" fontId="26" fillId="4" borderId="0" xfId="4" applyFont="1" applyFill="1" applyBorder="1" applyAlignment="1" applyProtection="1">
      <alignment wrapText="1"/>
    </xf>
    <xf numFmtId="0" fontId="26" fillId="4" borderId="0" xfId="4" applyFont="1" applyFill="1" applyBorder="1" applyAlignment="1" applyProtection="1">
      <alignment horizontal="left"/>
    </xf>
    <xf numFmtId="0" fontId="26" fillId="0" borderId="11" xfId="4" applyNumberFormat="1" applyFont="1" applyFill="1" applyBorder="1" applyAlignment="1" applyProtection="1">
      <alignment horizontal="center"/>
    </xf>
    <xf numFmtId="0" fontId="27" fillId="4" borderId="0" xfId="6" applyFont="1" applyFill="1" applyBorder="1" applyAlignment="1" applyProtection="1">
      <alignment horizontal="center"/>
    </xf>
    <xf numFmtId="0" fontId="26" fillId="4" borderId="0" xfId="4" applyFont="1" applyFill="1" applyBorder="1" applyAlignment="1" applyProtection="1">
      <alignment horizontal="center"/>
    </xf>
    <xf numFmtId="0" fontId="28" fillId="4" borderId="0" xfId="4" applyFont="1" applyFill="1" applyBorder="1" applyAlignment="1" applyProtection="1">
      <alignment horizontal="center"/>
    </xf>
    <xf numFmtId="0" fontId="28" fillId="4" borderId="0" xfId="4" applyFont="1" applyFill="1" applyBorder="1" applyAlignment="1" applyProtection="1">
      <alignment horizontal="left"/>
    </xf>
    <xf numFmtId="0" fontId="28" fillId="0" borderId="1" xfId="4" applyNumberFormat="1" applyFont="1" applyFill="1" applyBorder="1" applyAlignment="1" applyProtection="1">
      <alignment horizontal="center"/>
    </xf>
    <xf numFmtId="0" fontId="4" fillId="4" borderId="0" xfId="4" applyFont="1" applyFill="1" applyBorder="1" applyAlignment="1" applyProtection="1"/>
    <xf numFmtId="0" fontId="3" fillId="4" borderId="0" xfId="4" applyFont="1" applyFill="1" applyBorder="1" applyAlignment="1" applyProtection="1">
      <alignment horizontal="center"/>
    </xf>
    <xf numFmtId="4" fontId="3" fillId="4" borderId="0" xfId="4" applyNumberFormat="1" applyFont="1" applyFill="1" applyBorder="1" applyAlignment="1" applyProtection="1">
      <alignment horizontal="center"/>
    </xf>
    <xf numFmtId="4" fontId="3" fillId="4" borderId="0" xfId="4" applyNumberFormat="1" applyFont="1" applyFill="1" applyBorder="1" applyAlignment="1" applyProtection="1">
      <alignment horizontal="right"/>
    </xf>
    <xf numFmtId="0" fontId="3" fillId="4" borderId="0" xfId="6" applyNumberFormat="1" applyFont="1" applyFill="1" applyBorder="1" applyAlignment="1" applyProtection="1">
      <alignment horizontal="right"/>
    </xf>
    <xf numFmtId="0" fontId="3" fillId="4" borderId="0" xfId="6" applyNumberFormat="1" applyFont="1" applyFill="1" applyAlignment="1" applyProtection="1"/>
    <xf numFmtId="0" fontId="3" fillId="4" borderId="0" xfId="6" applyNumberFormat="1" applyFont="1" applyFill="1" applyBorder="1" applyAlignment="1" applyProtection="1"/>
    <xf numFmtId="2" fontId="3" fillId="4" borderId="0" xfId="6" applyNumberFormat="1" applyFont="1" applyFill="1" applyBorder="1" applyAlignment="1" applyProtection="1">
      <alignment horizontal="center"/>
    </xf>
    <xf numFmtId="0" fontId="3" fillId="4" borderId="0" xfId="6" applyFont="1" applyFill="1" applyBorder="1" applyAlignment="1" applyProtection="1">
      <alignment horizontal="left"/>
    </xf>
    <xf numFmtId="4" fontId="3" fillId="4" borderId="0" xfId="4" applyNumberFormat="1" applyFont="1" applyFill="1" applyBorder="1" applyAlignment="1" applyProtection="1">
      <alignment horizontal="center" wrapText="1"/>
    </xf>
    <xf numFmtId="4" fontId="3" fillId="4" borderId="0" xfId="4" applyNumberFormat="1" applyFont="1" applyFill="1" applyBorder="1" applyAlignment="1" applyProtection="1">
      <alignment horizontal="right" wrapText="1"/>
    </xf>
    <xf numFmtId="0" fontId="20" fillId="4" borderId="0" xfId="6" applyNumberFormat="1" applyFont="1" applyFill="1" applyBorder="1" applyAlignment="1" applyProtection="1"/>
    <xf numFmtId="0" fontId="25" fillId="4" borderId="0" xfId="4" applyFont="1" applyFill="1" applyBorder="1" applyAlignment="1" applyProtection="1">
      <alignment horizontal="center" wrapText="1"/>
    </xf>
    <xf numFmtId="0" fontId="26" fillId="4" borderId="0" xfId="4" applyFont="1" applyFill="1" applyBorder="1" applyAlignment="1" applyProtection="1">
      <alignment horizontal="center" wrapText="1"/>
    </xf>
    <xf numFmtId="0" fontId="26" fillId="4" borderId="0" xfId="4" applyFont="1" applyFill="1" applyBorder="1" applyAlignment="1" applyProtection="1">
      <alignment horizontal="center"/>
    </xf>
    <xf numFmtId="0" fontId="3" fillId="0" borderId="0" xfId="0" applyFont="1" applyFill="1" applyBorder="1" applyAlignment="1" applyProtection="1">
      <alignment horizontal="center"/>
      <protection locked="0"/>
    </xf>
    <xf numFmtId="2" fontId="3" fillId="0" borderId="0" xfId="0" applyNumberFormat="1" applyFont="1" applyFill="1" applyBorder="1" applyAlignment="1" applyProtection="1">
      <alignment horizontal="center"/>
      <protection locked="0"/>
    </xf>
    <xf numFmtId="4" fontId="3" fillId="0" borderId="0" xfId="0" applyNumberFormat="1" applyFont="1" applyFill="1" applyBorder="1" applyAlignment="1" applyProtection="1">
      <alignment horizontal="center"/>
      <protection locked="0"/>
    </xf>
    <xf numFmtId="4" fontId="3" fillId="0" borderId="0" xfId="0" applyNumberFormat="1" applyFont="1" applyFill="1" applyBorder="1" applyAlignment="1" applyProtection="1">
      <alignment horizontal="right"/>
      <protection locked="0"/>
    </xf>
    <xf numFmtId="0" fontId="3" fillId="0" borderId="0" xfId="0" applyFont="1" applyFill="1" applyBorder="1" applyAlignment="1" applyProtection="1">
      <alignment horizontal="left"/>
      <protection locked="0"/>
    </xf>
    <xf numFmtId="0" fontId="3" fillId="0" borderId="0" xfId="0" applyFont="1" applyFill="1" applyAlignment="1" applyProtection="1">
      <protection locked="0"/>
    </xf>
    <xf numFmtId="0" fontId="3" fillId="0" borderId="0" xfId="0" applyFont="1" applyFill="1" applyBorder="1" applyAlignment="1" applyProtection="1">
      <protection locked="0"/>
    </xf>
    <xf numFmtId="0" fontId="3" fillId="0" borderId="0" xfId="4" applyFont="1" applyFill="1" applyBorder="1" applyAlignment="1" applyProtection="1">
      <alignment horizontal="left" vertical="top" wrapText="1"/>
      <protection locked="0"/>
    </xf>
    <xf numFmtId="0" fontId="3" fillId="0" borderId="0" xfId="4" applyFont="1" applyFill="1" applyBorder="1" applyAlignment="1" applyProtection="1">
      <alignment horizontal="center" wrapText="1"/>
      <protection locked="0"/>
    </xf>
    <xf numFmtId="4" fontId="3" fillId="0" borderId="0" xfId="4" applyNumberFormat="1" applyFont="1" applyFill="1" applyBorder="1" applyAlignment="1" applyProtection="1">
      <alignment horizontal="center" wrapText="1"/>
      <protection locked="0"/>
    </xf>
    <xf numFmtId="4" fontId="3" fillId="0" borderId="0" xfId="4" applyNumberFormat="1" applyFont="1" applyFill="1" applyBorder="1" applyAlignment="1" applyProtection="1">
      <alignment horizontal="right" wrapText="1"/>
      <protection locked="0"/>
    </xf>
    <xf numFmtId="0" fontId="3" fillId="0" borderId="0" xfId="4" applyFont="1" applyFill="1" applyBorder="1" applyAlignment="1" applyProtection="1">
      <alignment wrapText="1"/>
      <protection locked="0"/>
    </xf>
    <xf numFmtId="0" fontId="20" fillId="0" borderId="0" xfId="0" applyFont="1" applyFill="1" applyBorder="1" applyAlignment="1" applyProtection="1">
      <protection locked="0"/>
    </xf>
    <xf numFmtId="0" fontId="5" fillId="0" borderId="0" xfId="0" applyFont="1" applyFill="1" applyBorder="1" applyAlignment="1" applyProtection="1">
      <alignment horizontal="center"/>
      <protection locked="0"/>
    </xf>
    <xf numFmtId="0" fontId="3" fillId="0" borderId="0" xfId="4" applyFont="1" applyFill="1" applyBorder="1" applyAlignment="1" applyProtection="1">
      <alignment horizontal="center"/>
      <protection locked="0"/>
    </xf>
    <xf numFmtId="4" fontId="3" fillId="0" borderId="0" xfId="4" applyNumberFormat="1" applyFont="1" applyFill="1" applyBorder="1" applyAlignment="1" applyProtection="1">
      <alignment horizontal="center"/>
      <protection locked="0"/>
    </xf>
    <xf numFmtId="4" fontId="3" fillId="0" borderId="0" xfId="4" applyNumberFormat="1" applyFont="1" applyFill="1" applyBorder="1" applyAlignment="1" applyProtection="1">
      <alignment horizontal="right"/>
      <protection locked="0"/>
    </xf>
    <xf numFmtId="0" fontId="3" fillId="0" borderId="0" xfId="4" applyFont="1" applyFill="1" applyBorder="1" applyAlignment="1" applyProtection="1">
      <protection locked="0"/>
    </xf>
    <xf numFmtId="0" fontId="2" fillId="0" borderId="0" xfId="4" applyFont="1" applyFill="1" applyBorder="1" applyAlignment="1" applyProtection="1">
      <alignment horizontal="left"/>
      <protection locked="0"/>
    </xf>
    <xf numFmtId="0" fontId="24" fillId="3" borderId="8" xfId="4" applyNumberFormat="1" applyFont="1" applyFill="1" applyBorder="1" applyAlignment="1" applyProtection="1">
      <alignment horizontal="center"/>
      <protection locked="0"/>
    </xf>
    <xf numFmtId="4" fontId="24" fillId="3" borderId="8" xfId="4" applyNumberFormat="1" applyFont="1" applyFill="1" applyBorder="1" applyAlignment="1" applyProtection="1">
      <alignment horizontal="center"/>
      <protection locked="0"/>
    </xf>
    <xf numFmtId="0" fontId="2" fillId="0" borderId="4" xfId="4" applyNumberFormat="1" applyFont="1" applyFill="1" applyBorder="1" applyAlignment="1" applyProtection="1">
      <alignment horizontal="center"/>
      <protection locked="0"/>
    </xf>
    <xf numFmtId="0" fontId="2" fillId="0" borderId="5" xfId="4" applyNumberFormat="1" applyFont="1" applyFill="1" applyBorder="1" applyAlignment="1" applyProtection="1">
      <alignment horizontal="center"/>
      <protection locked="0"/>
    </xf>
    <xf numFmtId="4" fontId="2" fillId="0" borderId="5" xfId="4" applyNumberFormat="1" applyFont="1" applyFill="1" applyBorder="1" applyAlignment="1" applyProtection="1">
      <alignment horizontal="right"/>
      <protection locked="0"/>
    </xf>
    <xf numFmtId="0" fontId="2" fillId="0" borderId="6" xfId="4" applyNumberFormat="1" applyFont="1" applyFill="1" applyBorder="1" applyAlignment="1" applyProtection="1">
      <alignment horizontal="center"/>
      <protection locked="0"/>
    </xf>
    <xf numFmtId="0" fontId="3" fillId="0" borderId="5" xfId="4" applyFont="1" applyFill="1" applyBorder="1" applyAlignment="1" applyProtection="1">
      <alignment horizontal="center"/>
      <protection locked="0"/>
    </xf>
    <xf numFmtId="4" fontId="3" fillId="0" borderId="5" xfId="4" applyNumberFormat="1" applyFont="1" applyFill="1" applyBorder="1" applyAlignment="1" applyProtection="1">
      <alignment horizontal="right" wrapText="1"/>
      <protection locked="0"/>
    </xf>
    <xf numFmtId="0" fontId="3" fillId="0" borderId="5" xfId="4" applyFont="1" applyFill="1" applyBorder="1" applyAlignment="1" applyProtection="1">
      <alignment horizontal="left"/>
      <protection locked="0"/>
    </xf>
    <xf numFmtId="0" fontId="3" fillId="0" borderId="0" xfId="4" applyFont="1" applyFill="1" applyBorder="1" applyAlignment="1" applyProtection="1">
      <alignment horizontal="left"/>
      <protection locked="0"/>
    </xf>
    <xf numFmtId="4" fontId="3" fillId="0" borderId="6" xfId="4" applyNumberFormat="1" applyFont="1" applyFill="1" applyBorder="1" applyAlignment="1" applyProtection="1">
      <alignment horizontal="right" wrapText="1"/>
      <protection locked="0"/>
    </xf>
    <xf numFmtId="0" fontId="3" fillId="0" borderId="6" xfId="4" applyFont="1" applyFill="1" applyBorder="1" applyAlignment="1" applyProtection="1">
      <alignment horizontal="left" wrapText="1"/>
      <protection locked="0"/>
    </xf>
    <xf numFmtId="0" fontId="3" fillId="0" borderId="4" xfId="4" applyFont="1" applyFill="1" applyBorder="1" applyAlignment="1" applyProtection="1">
      <alignment horizontal="center" wrapText="1"/>
      <protection locked="0"/>
    </xf>
    <xf numFmtId="4" fontId="3" fillId="0" borderId="4" xfId="4" applyNumberFormat="1" applyFont="1" applyFill="1" applyBorder="1" applyAlignment="1" applyProtection="1">
      <alignment horizontal="right" wrapText="1"/>
      <protection locked="0"/>
    </xf>
    <xf numFmtId="0" fontId="3" fillId="0" borderId="4" xfId="4" applyFont="1" applyFill="1" applyBorder="1" applyAlignment="1" applyProtection="1">
      <alignment horizontal="left" wrapText="1"/>
      <protection locked="0"/>
    </xf>
    <xf numFmtId="0" fontId="3" fillId="0" borderId="0" xfId="4" applyFont="1" applyFill="1" applyBorder="1" applyAlignment="1" applyProtection="1">
      <alignment horizontal="left" wrapText="1"/>
      <protection locked="0"/>
    </xf>
    <xf numFmtId="4" fontId="11" fillId="0" borderId="5" xfId="4" applyNumberFormat="1" applyFont="1" applyFill="1" applyBorder="1" applyAlignment="1" applyProtection="1">
      <alignment horizontal="right" wrapText="1"/>
      <protection locked="0"/>
    </xf>
    <xf numFmtId="0" fontId="11" fillId="0" borderId="5" xfId="4" applyFont="1" applyFill="1" applyBorder="1" applyAlignment="1" applyProtection="1">
      <alignment horizontal="left" wrapText="1"/>
      <protection locked="0"/>
    </xf>
    <xf numFmtId="4" fontId="11" fillId="0" borderId="5" xfId="4" applyNumberFormat="1" applyFont="1" applyFill="1" applyBorder="1" applyAlignment="1" applyProtection="1">
      <alignment horizontal="right"/>
      <protection locked="0"/>
    </xf>
    <xf numFmtId="0" fontId="11" fillId="0" borderId="5" xfId="4" applyFont="1" applyFill="1" applyBorder="1" applyAlignment="1" applyProtection="1">
      <alignment horizontal="left"/>
      <protection locked="0"/>
    </xf>
    <xf numFmtId="4" fontId="3" fillId="0" borderId="5" xfId="4" applyNumberFormat="1" applyFont="1" applyFill="1" applyBorder="1" applyAlignment="1" applyProtection="1">
      <alignment horizontal="right" vertical="center" wrapText="1"/>
      <protection locked="0"/>
    </xf>
    <xf numFmtId="0" fontId="3" fillId="0" borderId="5" xfId="4" applyFont="1" applyFill="1" applyBorder="1" applyAlignment="1" applyProtection="1">
      <alignment horizontal="left" vertical="center" wrapText="1"/>
      <protection locked="0"/>
    </xf>
    <xf numFmtId="0" fontId="3" fillId="0" borderId="6" xfId="4" applyFont="1" applyFill="1" applyBorder="1" applyAlignment="1" applyProtection="1">
      <alignment horizontal="center" wrapText="1"/>
      <protection locked="0"/>
    </xf>
    <xf numFmtId="0" fontId="11" fillId="0" borderId="5" xfId="7" applyFont="1" applyFill="1" applyBorder="1" applyAlignment="1" applyProtection="1">
      <alignment horizontal="left" wrapText="1"/>
      <protection locked="0"/>
    </xf>
    <xf numFmtId="0" fontId="3" fillId="0" borderId="0" xfId="4" applyFont="1" applyFill="1" applyBorder="1" applyAlignment="1" applyProtection="1">
      <alignment horizontal="left" vertical="center" wrapText="1"/>
      <protection locked="0"/>
    </xf>
    <xf numFmtId="0" fontId="3" fillId="0" borderId="5" xfId="3" applyFont="1" applyFill="1" applyBorder="1" applyAlignment="1" applyProtection="1">
      <alignment horizontal="left" wrapText="1"/>
      <protection locked="0"/>
    </xf>
    <xf numFmtId="0" fontId="3" fillId="5" borderId="5" xfId="12" applyNumberFormat="1" applyFont="1" applyFill="1" applyBorder="1" applyAlignment="1" applyProtection="1">
      <alignment horizontal="left" vertical="center"/>
      <protection locked="0"/>
    </xf>
    <xf numFmtId="0" fontId="3" fillId="5" borderId="6" xfId="12" applyNumberFormat="1" applyFont="1" applyFill="1" applyBorder="1" applyAlignment="1" applyProtection="1">
      <alignment horizontal="left" vertical="center"/>
      <protection locked="0"/>
    </xf>
    <xf numFmtId="0" fontId="3" fillId="0" borderId="4" xfId="3" applyFont="1" applyFill="1" applyBorder="1" applyAlignment="1" applyProtection="1">
      <alignment horizontal="center" wrapText="1"/>
      <protection locked="0"/>
    </xf>
    <xf numFmtId="0" fontId="3" fillId="0" borderId="5" xfId="5" applyFont="1" applyFill="1" applyBorder="1" applyAlignment="1" applyProtection="1">
      <alignment horizontal="center"/>
      <protection locked="0"/>
    </xf>
    <xf numFmtId="0" fontId="3" fillId="0" borderId="5" xfId="3" applyFont="1" applyFill="1" applyBorder="1" applyAlignment="1" applyProtection="1">
      <alignment horizontal="center" wrapText="1"/>
      <protection locked="0"/>
    </xf>
    <xf numFmtId="0" fontId="3" fillId="4" borderId="0" xfId="0" applyNumberFormat="1" applyFont="1" applyFill="1" applyBorder="1" applyAlignment="1" applyProtection="1">
      <alignment horizontal="left" vertical="center"/>
      <protection locked="0"/>
    </xf>
    <xf numFmtId="0" fontId="3" fillId="0" borderId="5" xfId="12" applyNumberFormat="1" applyFont="1" applyFill="1" applyBorder="1" applyAlignment="1" applyProtection="1">
      <alignment horizontal="left" vertical="center"/>
      <protection locked="0"/>
    </xf>
    <xf numFmtId="0" fontId="11" fillId="0" borderId="5" xfId="3" applyFont="1" applyFill="1" applyBorder="1" applyAlignment="1" applyProtection="1">
      <alignment horizontal="left" wrapText="1"/>
      <protection locked="0"/>
    </xf>
    <xf numFmtId="0" fontId="3" fillId="5" borderId="4" xfId="12" applyNumberFormat="1" applyFont="1" applyFill="1" applyBorder="1" applyAlignment="1" applyProtection="1">
      <alignment horizontal="left" vertical="center"/>
      <protection locked="0"/>
    </xf>
    <xf numFmtId="0" fontId="3" fillId="0" borderId="6" xfId="5" applyFont="1" applyFill="1" applyBorder="1" applyAlignment="1" applyProtection="1">
      <protection locked="0"/>
    </xf>
    <xf numFmtId="4" fontId="3" fillId="0" borderId="9" xfId="4" applyNumberFormat="1" applyFont="1" applyFill="1" applyBorder="1" applyAlignment="1" applyProtection="1">
      <alignment horizontal="right" wrapText="1"/>
      <protection locked="0"/>
    </xf>
    <xf numFmtId="0" fontId="3" fillId="0" borderId="9" xfId="5" applyFont="1" applyFill="1" applyBorder="1" applyAlignment="1" applyProtection="1">
      <protection locked="0"/>
    </xf>
    <xf numFmtId="2" fontId="3" fillId="0" borderId="0" xfId="0" applyNumberFormat="1" applyFont="1" applyFill="1" applyBorder="1" applyAlignment="1" applyProtection="1">
      <alignment horizontal="left"/>
      <protection locked="0"/>
    </xf>
    <xf numFmtId="0" fontId="2" fillId="0" borderId="0" xfId="4" applyFont="1" applyFill="1" applyBorder="1" applyAlignment="1" applyProtection="1">
      <alignment horizontal="center"/>
      <protection locked="0"/>
    </xf>
    <xf numFmtId="4" fontId="2" fillId="0" borderId="0" xfId="4" applyNumberFormat="1" applyFont="1" applyFill="1" applyBorder="1" applyAlignment="1" applyProtection="1">
      <alignment horizontal="center"/>
      <protection locked="0"/>
    </xf>
    <xf numFmtId="0" fontId="13" fillId="0" borderId="0" xfId="0" applyFont="1" applyFill="1" applyBorder="1" applyAlignment="1" applyProtection="1">
      <alignment horizontal="left"/>
    </xf>
    <xf numFmtId="0" fontId="3" fillId="0" borderId="0" xfId="0" applyFont="1" applyFill="1" applyBorder="1" applyAlignment="1" applyProtection="1">
      <alignment horizontal="center"/>
    </xf>
    <xf numFmtId="2" fontId="3" fillId="0" borderId="0" xfId="0" applyNumberFormat="1" applyFont="1" applyFill="1" applyBorder="1" applyAlignment="1" applyProtection="1">
      <alignment horizontal="center"/>
    </xf>
    <xf numFmtId="0" fontId="3" fillId="0" borderId="0" xfId="4" applyFont="1" applyFill="1" applyBorder="1" applyAlignment="1" applyProtection="1">
      <alignment vertical="top"/>
    </xf>
    <xf numFmtId="0" fontId="2" fillId="0" borderId="0" xfId="0" applyFont="1" applyFill="1" applyBorder="1" applyAlignment="1" applyProtection="1">
      <alignment vertical="top"/>
    </xf>
    <xf numFmtId="0" fontId="3" fillId="0" borderId="0" xfId="0" quotePrefix="1" applyFont="1" applyFill="1" applyBorder="1" applyAlignment="1" applyProtection="1"/>
    <xf numFmtId="0" fontId="3" fillId="0" borderId="0" xfId="0" applyFont="1" applyFill="1" applyBorder="1" applyAlignment="1" applyProtection="1"/>
    <xf numFmtId="0" fontId="3" fillId="0" borderId="0" xfId="0" applyFont="1" applyFill="1" applyBorder="1" applyAlignment="1" applyProtection="1">
      <alignment horizontal="left"/>
    </xf>
    <xf numFmtId="0" fontId="3" fillId="0" borderId="0" xfId="0" quotePrefix="1" applyFont="1" applyFill="1" applyBorder="1" applyAlignment="1" applyProtection="1">
      <alignment horizontal="left" vertical="top"/>
    </xf>
    <xf numFmtId="0" fontId="3" fillId="0" borderId="0" xfId="4" applyFont="1" applyFill="1" applyBorder="1" applyAlignment="1" applyProtection="1">
      <alignment horizontal="left" vertical="top" wrapText="1"/>
    </xf>
    <xf numFmtId="0" fontId="3" fillId="0" borderId="0" xfId="4" applyFont="1" applyFill="1" applyBorder="1" applyAlignment="1" applyProtection="1">
      <alignment vertical="top" wrapText="1"/>
    </xf>
    <xf numFmtId="0" fontId="3" fillId="0" borderId="0" xfId="4" applyFont="1" applyFill="1" applyBorder="1" applyAlignment="1" applyProtection="1">
      <alignment horizontal="center" wrapText="1"/>
    </xf>
    <xf numFmtId="0" fontId="20" fillId="0" borderId="0" xfId="0" applyFont="1" applyFill="1" applyBorder="1" applyAlignment="1" applyProtection="1">
      <alignment horizontal="left" indent="20"/>
    </xf>
    <xf numFmtId="0" fontId="5" fillId="0" borderId="0" xfId="0" applyFont="1" applyFill="1" applyBorder="1" applyAlignment="1" applyProtection="1">
      <alignment horizontal="center" vertical="top"/>
    </xf>
    <xf numFmtId="0" fontId="5" fillId="0" borderId="0" xfId="0" applyFont="1" applyFill="1" applyBorder="1" applyAlignment="1" applyProtection="1">
      <alignment horizontal="center"/>
    </xf>
    <xf numFmtId="0" fontId="5" fillId="0" borderId="0" xfId="4" applyFont="1" applyFill="1" applyBorder="1" applyAlignment="1" applyProtection="1">
      <alignment horizontal="left" vertical="top"/>
    </xf>
    <xf numFmtId="0" fontId="3" fillId="0" borderId="0" xfId="4" applyFont="1" applyFill="1" applyBorder="1" applyAlignment="1" applyProtection="1">
      <alignment horizontal="center"/>
    </xf>
    <xf numFmtId="0" fontId="2" fillId="0" borderId="0" xfId="4" applyFont="1" applyFill="1" applyBorder="1" applyAlignment="1" applyProtection="1">
      <alignment horizontal="left"/>
    </xf>
    <xf numFmtId="0" fontId="3" fillId="0" borderId="0" xfId="4" applyFont="1" applyFill="1" applyBorder="1" applyAlignment="1" applyProtection="1">
      <alignment horizontal="center" vertical="top"/>
    </xf>
    <xf numFmtId="0" fontId="3" fillId="0" borderId="0" xfId="4" applyFont="1" applyFill="1" applyBorder="1" applyAlignment="1" applyProtection="1">
      <alignment horizontal="left" vertical="top" indent="1"/>
    </xf>
    <xf numFmtId="0" fontId="3" fillId="0" borderId="0" xfId="4" applyFont="1" applyFill="1" applyBorder="1" applyAlignment="1" applyProtection="1">
      <alignment horizontal="right" indent="1"/>
    </xf>
    <xf numFmtId="0" fontId="3" fillId="0" borderId="0" xfId="4" applyFont="1" applyFill="1" applyBorder="1" applyAlignment="1" applyProtection="1">
      <alignment horizontal="left" vertical="top"/>
    </xf>
    <xf numFmtId="0" fontId="7" fillId="0" borderId="0" xfId="4" applyFont="1" applyFill="1" applyBorder="1" applyAlignment="1" applyProtection="1">
      <alignment horizontal="left" vertical="top" indent="1"/>
    </xf>
    <xf numFmtId="0" fontId="2" fillId="0" borderId="0" xfId="4" applyFont="1" applyFill="1" applyBorder="1" applyAlignment="1" applyProtection="1">
      <alignment horizontal="right" indent="1"/>
    </xf>
    <xf numFmtId="0" fontId="2" fillId="0" borderId="0" xfId="4" applyFont="1" applyFill="1" applyBorder="1" applyAlignment="1" applyProtection="1">
      <alignment horizontal="left" vertical="top"/>
    </xf>
    <xf numFmtId="0" fontId="4" fillId="0" borderId="0" xfId="4" applyFont="1" applyFill="1" applyBorder="1" applyAlignment="1" applyProtection="1">
      <alignment vertical="top"/>
    </xf>
    <xf numFmtId="0" fontId="2" fillId="0" borderId="0" xfId="4" applyFont="1" applyFill="1" applyBorder="1" applyAlignment="1" applyProtection="1">
      <alignment horizontal="center" vertical="top"/>
    </xf>
    <xf numFmtId="0" fontId="13" fillId="0" borderId="0" xfId="0" applyFont="1" applyFill="1" applyBorder="1" applyAlignment="1" applyProtection="1">
      <alignment horizontal="left" vertical="top"/>
    </xf>
    <xf numFmtId="0" fontId="2" fillId="0" borderId="0" xfId="0" applyFont="1" applyFill="1" applyBorder="1" applyAlignment="1" applyProtection="1">
      <alignment horizontal="left" vertical="top"/>
    </xf>
    <xf numFmtId="0" fontId="20" fillId="0" borderId="0" xfId="0" applyFont="1" applyFill="1" applyBorder="1" applyAlignment="1" applyProtection="1">
      <alignment horizontal="left" indent="19"/>
    </xf>
    <xf numFmtId="0" fontId="24" fillId="3" borderId="8" xfId="4" applyNumberFormat="1" applyFont="1" applyFill="1" applyBorder="1" applyAlignment="1" applyProtection="1">
      <alignment horizontal="center" vertical="top"/>
    </xf>
    <xf numFmtId="2" fontId="24" fillId="3" borderId="8" xfId="4" applyNumberFormat="1" applyFont="1" applyFill="1" applyBorder="1" applyAlignment="1" applyProtection="1">
      <alignment horizontal="center"/>
    </xf>
    <xf numFmtId="0" fontId="24" fillId="3" borderId="8" xfId="4" applyNumberFormat="1" applyFont="1" applyFill="1" applyBorder="1" applyAlignment="1" applyProtection="1">
      <alignment horizontal="center"/>
    </xf>
    <xf numFmtId="0" fontId="2" fillId="0" borderId="4" xfId="4" applyNumberFormat="1" applyFont="1" applyFill="1" applyBorder="1" applyAlignment="1" applyProtection="1">
      <alignment horizontal="center" vertical="top"/>
    </xf>
    <xf numFmtId="0" fontId="2" fillId="0" borderId="4" xfId="4" applyNumberFormat="1" applyFont="1" applyFill="1" applyBorder="1" applyAlignment="1" applyProtection="1">
      <alignment horizontal="center"/>
    </xf>
    <xf numFmtId="0" fontId="2" fillId="0" borderId="5" xfId="4" applyNumberFormat="1" applyFont="1" applyFill="1" applyBorder="1" applyAlignment="1" applyProtection="1">
      <alignment horizontal="center" vertical="top"/>
    </xf>
    <xf numFmtId="0" fontId="5" fillId="0" borderId="5" xfId="4" applyNumberFormat="1" applyFont="1" applyFill="1" applyBorder="1" applyAlignment="1" applyProtection="1">
      <alignment horizontal="left" vertical="top"/>
    </xf>
    <xf numFmtId="0" fontId="2" fillId="0" borderId="5" xfId="4" applyNumberFormat="1" applyFont="1" applyFill="1" applyBorder="1" applyAlignment="1" applyProtection="1">
      <alignment horizontal="center"/>
    </xf>
    <xf numFmtId="0" fontId="8" fillId="0" borderId="5" xfId="4" applyNumberFormat="1" applyFont="1" applyFill="1" applyBorder="1" applyAlignment="1" applyProtection="1">
      <alignment horizontal="left" vertical="top"/>
    </xf>
    <xf numFmtId="0" fontId="2" fillId="0" borderId="5" xfId="4" applyNumberFormat="1" applyFont="1" applyFill="1" applyBorder="1" applyAlignment="1" applyProtection="1">
      <alignment horizontal="left" vertical="top"/>
    </xf>
    <xf numFmtId="0" fontId="3" fillId="0" borderId="5" xfId="4" applyNumberFormat="1" applyFont="1" applyFill="1" applyBorder="1" applyAlignment="1" applyProtection="1">
      <alignment horizontal="center"/>
    </xf>
    <xf numFmtId="0" fontId="3" fillId="0" borderId="5" xfId="4" applyNumberFormat="1" applyFont="1" applyFill="1" applyBorder="1" applyAlignment="1" applyProtection="1">
      <alignment horizontal="center" vertical="top" wrapText="1"/>
    </xf>
    <xf numFmtId="0" fontId="6" fillId="0" borderId="5" xfId="4" applyNumberFormat="1" applyFont="1" applyFill="1" applyBorder="1" applyAlignment="1" applyProtection="1">
      <alignment horizontal="left" vertical="top" wrapText="1"/>
    </xf>
    <xf numFmtId="2" fontId="3" fillId="0" borderId="5" xfId="4" applyNumberFormat="1" applyFont="1" applyFill="1" applyBorder="1" applyAlignment="1" applyProtection="1">
      <alignment horizontal="center" wrapText="1"/>
    </xf>
    <xf numFmtId="0" fontId="2" fillId="0" borderId="5" xfId="4" applyFont="1" applyFill="1" applyBorder="1" applyAlignment="1" applyProtection="1">
      <alignment horizontal="left" vertical="top" wrapText="1"/>
    </xf>
    <xf numFmtId="0" fontId="3" fillId="0" borderId="5" xfId="4" applyFont="1" applyFill="1" applyBorder="1" applyAlignment="1" applyProtection="1">
      <alignment horizontal="center" wrapText="1"/>
    </xf>
    <xf numFmtId="49" fontId="3" fillId="0" borderId="5" xfId="4" applyNumberFormat="1" applyFont="1" applyFill="1" applyBorder="1" applyAlignment="1" applyProtection="1">
      <alignment horizontal="center" vertical="top" wrapText="1"/>
    </xf>
    <xf numFmtId="0" fontId="6" fillId="0" borderId="5" xfId="4" applyFont="1" applyFill="1" applyBorder="1" applyAlignment="1" applyProtection="1">
      <alignment horizontal="left" vertical="top" wrapText="1"/>
    </xf>
    <xf numFmtId="49" fontId="3" fillId="0" borderId="5" xfId="4" applyNumberFormat="1" applyFont="1" applyFill="1" applyBorder="1" applyAlignment="1" applyProtection="1">
      <alignment horizontal="center" wrapText="1"/>
    </xf>
    <xf numFmtId="0" fontId="7" fillId="0" borderId="5" xfId="4" applyFont="1" applyFill="1" applyBorder="1" applyAlignment="1" applyProtection="1">
      <alignment horizontal="left" vertical="top" wrapText="1"/>
    </xf>
    <xf numFmtId="0" fontId="3" fillId="0" borderId="5" xfId="4" applyFont="1" applyFill="1" applyBorder="1" applyAlignment="1" applyProtection="1">
      <alignment horizontal="left" vertical="top" wrapText="1"/>
    </xf>
    <xf numFmtId="0" fontId="3" fillId="0" borderId="5" xfId="4" applyFont="1" applyFill="1" applyBorder="1" applyAlignment="1" applyProtection="1">
      <alignment horizontal="left" wrapText="1"/>
    </xf>
    <xf numFmtId="49" fontId="3" fillId="0" borderId="6" xfId="4" applyNumberFormat="1" applyFont="1" applyFill="1" applyBorder="1" applyAlignment="1" applyProtection="1">
      <alignment horizontal="center" vertical="top" wrapText="1"/>
    </xf>
    <xf numFmtId="0" fontId="3" fillId="0" borderId="6" xfId="4" applyFont="1" applyFill="1" applyBorder="1" applyAlignment="1" applyProtection="1">
      <alignment horizontal="left" vertical="top" wrapText="1"/>
    </xf>
    <xf numFmtId="2" fontId="3" fillId="0" borderId="6" xfId="4" applyNumberFormat="1" applyFont="1" applyFill="1" applyBorder="1" applyAlignment="1" applyProtection="1">
      <alignment horizontal="center" wrapText="1"/>
    </xf>
    <xf numFmtId="49" fontId="3" fillId="0" borderId="6" xfId="4" applyNumberFormat="1" applyFont="1" applyFill="1" applyBorder="1" applyAlignment="1" applyProtection="1">
      <alignment horizontal="center" wrapText="1"/>
    </xf>
    <xf numFmtId="49" fontId="3" fillId="0" borderId="4" xfId="4" applyNumberFormat="1" applyFont="1" applyFill="1" applyBorder="1" applyAlignment="1" applyProtection="1">
      <alignment horizontal="center" vertical="top" wrapText="1"/>
    </xf>
    <xf numFmtId="0" fontId="3" fillId="0" borderId="4" xfId="4" applyFont="1" applyFill="1" applyBorder="1" applyAlignment="1" applyProtection="1">
      <alignment horizontal="left" vertical="top" wrapText="1"/>
    </xf>
    <xf numFmtId="2" fontId="3" fillId="0" borderId="4" xfId="4" applyNumberFormat="1" applyFont="1" applyFill="1" applyBorder="1" applyAlignment="1" applyProtection="1">
      <alignment horizontal="center" wrapText="1"/>
    </xf>
    <xf numFmtId="49" fontId="3" fillId="0" borderId="4" xfId="4" applyNumberFormat="1" applyFont="1" applyFill="1" applyBorder="1" applyAlignment="1" applyProtection="1">
      <alignment horizontal="center" wrapText="1"/>
    </xf>
    <xf numFmtId="2" fontId="3" fillId="0" borderId="5" xfId="4" applyNumberFormat="1" applyFont="1" applyFill="1" applyBorder="1" applyAlignment="1" applyProtection="1">
      <alignment horizontal="center"/>
    </xf>
    <xf numFmtId="0" fontId="3" fillId="0" borderId="5" xfId="4" applyFont="1" applyFill="1" applyBorder="1" applyAlignment="1" applyProtection="1">
      <alignment horizontal="center"/>
    </xf>
    <xf numFmtId="0" fontId="3" fillId="0" borderId="5" xfId="4" applyFont="1" applyFill="1" applyBorder="1" applyAlignment="1" applyProtection="1">
      <alignment horizontal="center" vertical="top" wrapText="1"/>
    </xf>
    <xf numFmtId="0" fontId="3" fillId="0" borderId="6" xfId="4" applyFont="1" applyFill="1" applyBorder="1" applyAlignment="1" applyProtection="1">
      <alignment horizontal="center" vertical="top" wrapText="1"/>
    </xf>
    <xf numFmtId="0" fontId="3" fillId="0" borderId="4" xfId="4" applyFont="1" applyFill="1" applyBorder="1" applyAlignment="1" applyProtection="1">
      <alignment horizontal="center" vertical="top" wrapText="1"/>
    </xf>
    <xf numFmtId="0" fontId="3" fillId="0" borderId="4" xfId="4" applyFont="1" applyFill="1" applyBorder="1" applyAlignment="1" applyProtection="1">
      <alignment horizontal="center" wrapText="1"/>
    </xf>
    <xf numFmtId="0" fontId="6" fillId="0" borderId="5" xfId="4" quotePrefix="1" applyFont="1" applyFill="1" applyBorder="1" applyAlignment="1" applyProtection="1">
      <alignment horizontal="left" vertical="top" wrapText="1"/>
    </xf>
    <xf numFmtId="0" fontId="3" fillId="0" borderId="5" xfId="4" quotePrefix="1" applyFont="1" applyFill="1" applyBorder="1" applyAlignment="1" applyProtection="1">
      <alignment horizontal="left" vertical="top" wrapText="1"/>
    </xf>
    <xf numFmtId="0" fontId="7" fillId="0" borderId="5" xfId="4" applyNumberFormat="1" applyFont="1" applyFill="1" applyBorder="1" applyAlignment="1" applyProtection="1">
      <alignment horizontal="left" vertical="top" wrapText="1"/>
    </xf>
    <xf numFmtId="0" fontId="3" fillId="0" borderId="5" xfId="4" applyNumberFormat="1" applyFont="1" applyFill="1" applyBorder="1" applyAlignment="1" applyProtection="1">
      <alignment horizontal="left" vertical="top" wrapText="1"/>
    </xf>
    <xf numFmtId="2" fontId="3" fillId="0" borderId="5" xfId="8" applyNumberFormat="1" applyFont="1" applyFill="1" applyBorder="1" applyAlignment="1" applyProtection="1">
      <alignment horizontal="center" wrapText="1"/>
    </xf>
    <xf numFmtId="0" fontId="11" fillId="0" borderId="5" xfId="4" applyFont="1" applyFill="1" applyBorder="1" applyAlignment="1" applyProtection="1">
      <alignment horizontal="center" vertical="top" wrapText="1"/>
    </xf>
    <xf numFmtId="0" fontId="11" fillId="0" borderId="5" xfId="8" applyNumberFormat="1" applyFont="1" applyFill="1" applyBorder="1" applyAlignment="1" applyProtection="1">
      <alignment horizontal="left" vertical="top" wrapText="1"/>
    </xf>
    <xf numFmtId="2" fontId="11" fillId="0" borderId="5" xfId="8" applyNumberFormat="1" applyFont="1" applyFill="1" applyBorder="1" applyAlignment="1" applyProtection="1">
      <alignment horizontal="center" wrapText="1"/>
    </xf>
    <xf numFmtId="0" fontId="6" fillId="0" borderId="5" xfId="4" quotePrefix="1" applyNumberFormat="1" applyFont="1" applyFill="1" applyBorder="1" applyAlignment="1" applyProtection="1">
      <alignment horizontal="left" vertical="top" wrapText="1"/>
    </xf>
    <xf numFmtId="0" fontId="11" fillId="0" borderId="5" xfId="4" applyFont="1" applyFill="1" applyBorder="1" applyAlignment="1" applyProtection="1">
      <alignment horizontal="center" vertical="top"/>
    </xf>
    <xf numFmtId="0" fontId="11" fillId="0" borderId="5" xfId="4" applyNumberFormat="1" applyFont="1" applyFill="1" applyBorder="1" applyAlignment="1" applyProtection="1">
      <alignment horizontal="left" vertical="top"/>
    </xf>
    <xf numFmtId="2" fontId="11" fillId="0" borderId="5" xfId="4" applyNumberFormat="1" applyFont="1" applyFill="1" applyBorder="1" applyAlignment="1" applyProtection="1">
      <alignment horizontal="center"/>
    </xf>
    <xf numFmtId="0" fontId="11" fillId="0" borderId="5" xfId="4" applyFont="1" applyFill="1" applyBorder="1" applyAlignment="1" applyProtection="1">
      <alignment horizontal="center"/>
    </xf>
    <xf numFmtId="2" fontId="3" fillId="0" borderId="5" xfId="0" applyNumberFormat="1" applyFont="1" applyFill="1" applyBorder="1" applyAlignment="1" applyProtection="1">
      <alignment horizontal="center" wrapText="1"/>
    </xf>
    <xf numFmtId="2" fontId="3" fillId="0" borderId="6" xfId="0" applyNumberFormat="1" applyFont="1" applyFill="1" applyBorder="1" applyAlignment="1" applyProtection="1">
      <alignment horizontal="center" wrapText="1"/>
    </xf>
    <xf numFmtId="0" fontId="2" fillId="0" borderId="4" xfId="4" applyFont="1" applyFill="1" applyBorder="1" applyAlignment="1" applyProtection="1">
      <alignment horizontal="center" wrapText="1"/>
    </xf>
    <xf numFmtId="0" fontId="6" fillId="4" borderId="4" xfId="4" quotePrefix="1" applyFont="1" applyFill="1" applyBorder="1" applyAlignment="1" applyProtection="1">
      <alignment horizontal="left" wrapText="1"/>
    </xf>
    <xf numFmtId="0" fontId="3" fillId="4" borderId="4" xfId="4" applyFont="1" applyFill="1" applyBorder="1" applyAlignment="1" applyProtection="1">
      <alignment horizontal="left" wrapText="1"/>
    </xf>
    <xf numFmtId="2" fontId="3" fillId="4" borderId="4" xfId="4" applyNumberFormat="1" applyFont="1" applyFill="1" applyBorder="1" applyAlignment="1" applyProtection="1">
      <alignment horizontal="center" wrapText="1"/>
    </xf>
    <xf numFmtId="0" fontId="3" fillId="4" borderId="5" xfId="4" applyFont="1" applyFill="1" applyBorder="1" applyAlignment="1" applyProtection="1">
      <alignment horizontal="left" wrapText="1"/>
    </xf>
    <xf numFmtId="2" fontId="3" fillId="4" borderId="5" xfId="0" applyNumberFormat="1" applyFont="1" applyFill="1" applyBorder="1" applyAlignment="1" applyProtection="1">
      <alignment horizontal="center" wrapText="1"/>
    </xf>
    <xf numFmtId="2" fontId="3" fillId="4" borderId="5" xfId="4" applyNumberFormat="1" applyFont="1" applyFill="1" applyBorder="1" applyAlignment="1" applyProtection="1">
      <alignment horizontal="center" wrapText="1"/>
    </xf>
    <xf numFmtId="0" fontId="2" fillId="0" borderId="5" xfId="4" applyFont="1" applyFill="1" applyBorder="1" applyAlignment="1" applyProtection="1">
      <alignment horizontal="center" vertical="top"/>
    </xf>
    <xf numFmtId="0" fontId="4" fillId="0" borderId="5" xfId="4" applyFont="1" applyFill="1" applyBorder="1" applyAlignment="1" applyProtection="1">
      <alignment horizontal="left" vertical="top"/>
    </xf>
    <xf numFmtId="0" fontId="3" fillId="5" borderId="5" xfId="11" applyNumberFormat="1" applyFont="1" applyFill="1" applyBorder="1" applyAlignment="1" applyProtection="1">
      <alignment horizontal="left" vertical="top" wrapText="1"/>
    </xf>
    <xf numFmtId="0" fontId="3" fillId="4" borderId="5" xfId="11" applyNumberFormat="1" applyFont="1" applyFill="1" applyBorder="1" applyAlignment="1" applyProtection="1">
      <alignment horizontal="left" vertical="top" wrapText="1"/>
    </xf>
    <xf numFmtId="0" fontId="6" fillId="2" borderId="5" xfId="4" quotePrefix="1" applyNumberFormat="1" applyFont="1" applyFill="1" applyBorder="1" applyAlignment="1" applyProtection="1">
      <alignment horizontal="left" vertical="top" wrapText="1"/>
    </xf>
    <xf numFmtId="0" fontId="3" fillId="0" borderId="6" xfId="4" applyFont="1" applyFill="1" applyBorder="1" applyAlignment="1" applyProtection="1">
      <alignment horizontal="center" wrapText="1"/>
    </xf>
    <xf numFmtId="0" fontId="3" fillId="0" borderId="4" xfId="4" quotePrefix="1" applyFont="1" applyFill="1" applyBorder="1" applyAlignment="1" applyProtection="1">
      <alignment horizontal="left" vertical="top" wrapText="1"/>
    </xf>
    <xf numFmtId="0" fontId="3" fillId="0" borderId="5" xfId="7" applyFont="1" applyFill="1" applyBorder="1" applyAlignment="1" applyProtection="1">
      <alignment horizontal="center" vertical="top" wrapText="1"/>
    </xf>
    <xf numFmtId="0" fontId="6" fillId="5" borderId="5" xfId="7" applyNumberFormat="1" applyFont="1" applyFill="1" applyBorder="1" applyAlignment="1" applyProtection="1">
      <alignment horizontal="left" vertical="top" wrapText="1"/>
    </xf>
    <xf numFmtId="2" fontId="3" fillId="0" borderId="5" xfId="7" applyNumberFormat="1" applyFont="1" applyFill="1" applyBorder="1" applyAlignment="1" applyProtection="1">
      <alignment horizontal="center" wrapText="1"/>
    </xf>
    <xf numFmtId="166" fontId="3" fillId="0" borderId="5" xfId="7" applyNumberFormat="1" applyFont="1" applyFill="1" applyBorder="1" applyAlignment="1" applyProtection="1">
      <alignment horizontal="center" wrapText="1"/>
    </xf>
    <xf numFmtId="0" fontId="3" fillId="5" borderId="5" xfId="7" applyNumberFormat="1" applyFont="1" applyFill="1" applyBorder="1" applyAlignment="1" applyProtection="1">
      <alignment horizontal="left" vertical="top" wrapText="1"/>
    </xf>
    <xf numFmtId="0" fontId="6" fillId="4" borderId="5" xfId="12" applyNumberFormat="1" applyFont="1" applyFill="1" applyBorder="1" applyAlignment="1" applyProtection="1">
      <alignment horizontal="left" vertical="top" wrapText="1"/>
    </xf>
    <xf numFmtId="0" fontId="6" fillId="4" borderId="5" xfId="11" applyNumberFormat="1" applyFont="1" applyFill="1" applyBorder="1" applyAlignment="1" applyProtection="1">
      <alignment horizontal="left" vertical="top" wrapText="1"/>
    </xf>
    <xf numFmtId="0" fontId="17" fillId="0" borderId="5" xfId="4" quotePrefix="1" applyFont="1" applyFill="1" applyBorder="1" applyAlignment="1" applyProtection="1">
      <alignment horizontal="left" vertical="top" wrapText="1"/>
    </xf>
    <xf numFmtId="0" fontId="6" fillId="6" borderId="5" xfId="4" applyNumberFormat="1" applyFont="1" applyFill="1" applyBorder="1" applyAlignment="1" applyProtection="1">
      <alignment horizontal="left" vertical="top" wrapText="1"/>
    </xf>
    <xf numFmtId="0" fontId="3" fillId="0" borderId="6" xfId="4" quotePrefix="1" applyFont="1" applyFill="1" applyBorder="1" applyAlignment="1" applyProtection="1">
      <alignment horizontal="left" vertical="top" wrapText="1"/>
    </xf>
    <xf numFmtId="0" fontId="3" fillId="5" borderId="5" xfId="12" applyNumberFormat="1" applyFont="1" applyFill="1" applyBorder="1" applyAlignment="1" applyProtection="1">
      <alignment horizontal="left" vertical="center" wrapText="1"/>
    </xf>
    <xf numFmtId="0" fontId="22" fillId="4" borderId="5" xfId="12" applyNumberFormat="1" applyFont="1" applyFill="1" applyBorder="1" applyAlignment="1" applyProtection="1">
      <alignment horizontal="left" vertical="center" wrapText="1"/>
    </xf>
    <xf numFmtId="0" fontId="23" fillId="4" borderId="5" xfId="12" applyNumberFormat="1" applyFont="1" applyFill="1" applyBorder="1" applyAlignment="1" applyProtection="1">
      <alignment horizontal="left" vertical="center" wrapText="1"/>
    </xf>
    <xf numFmtId="0" fontId="2" fillId="0" borderId="5" xfId="4" applyFont="1" applyFill="1" applyBorder="1" applyAlignment="1" applyProtection="1">
      <alignment horizontal="center" vertical="top" wrapText="1"/>
    </xf>
    <xf numFmtId="0" fontId="5" fillId="0" borderId="5" xfId="4" applyFont="1" applyFill="1" applyBorder="1" applyAlignment="1" applyProtection="1">
      <alignment horizontal="left" vertical="top" wrapText="1"/>
    </xf>
    <xf numFmtId="0" fontId="3" fillId="4" borderId="5" xfId="12" applyNumberFormat="1" applyFont="1" applyFill="1" applyBorder="1" applyAlignment="1" applyProtection="1">
      <alignment horizontal="left" vertical="top" wrapText="1"/>
    </xf>
    <xf numFmtId="4" fontId="3" fillId="0" borderId="5" xfId="3" applyNumberFormat="1" applyFont="1" applyFill="1" applyBorder="1" applyAlignment="1" applyProtection="1">
      <alignment horizontal="center"/>
    </xf>
    <xf numFmtId="2" fontId="3" fillId="4" borderId="5" xfId="12" applyNumberFormat="1" applyFont="1" applyFill="1" applyBorder="1" applyAlignment="1" applyProtection="1">
      <alignment horizontal="center" wrapText="1"/>
    </xf>
    <xf numFmtId="0" fontId="3" fillId="4" borderId="5" xfId="6" applyNumberFormat="1" applyFont="1" applyFill="1" applyBorder="1" applyAlignment="1" applyProtection="1">
      <alignment horizontal="center"/>
    </xf>
    <xf numFmtId="0" fontId="3" fillId="0" borderId="6" xfId="7" applyFont="1" applyFill="1" applyBorder="1" applyAlignment="1" applyProtection="1">
      <alignment horizontal="center" vertical="top" wrapText="1"/>
    </xf>
    <xf numFmtId="0" fontId="6" fillId="0" borderId="6" xfId="4" applyFont="1" applyFill="1" applyBorder="1" applyAlignment="1" applyProtection="1">
      <alignment horizontal="left" vertical="top" wrapText="1"/>
    </xf>
    <xf numFmtId="2" fontId="3" fillId="4" borderId="6" xfId="12" applyNumberFormat="1" applyFont="1" applyFill="1" applyBorder="1" applyAlignment="1" applyProtection="1">
      <alignment horizontal="center" wrapText="1"/>
    </xf>
    <xf numFmtId="4" fontId="3" fillId="0" borderId="6" xfId="3" applyNumberFormat="1" applyFont="1" applyFill="1" applyBorder="1" applyAlignment="1" applyProtection="1">
      <alignment horizontal="center"/>
    </xf>
    <xf numFmtId="0" fontId="6" fillId="0" borderId="4" xfId="4" applyFont="1" applyFill="1" applyBorder="1" applyAlignment="1" applyProtection="1">
      <alignment horizontal="left" vertical="top" wrapText="1"/>
    </xf>
    <xf numFmtId="4" fontId="3" fillId="0" borderId="4" xfId="3" applyNumberFormat="1" applyFont="1" applyFill="1" applyBorder="1" applyAlignment="1" applyProtection="1">
      <alignment horizontal="center"/>
    </xf>
    <xf numFmtId="0" fontId="2" fillId="0" borderId="5" xfId="5" applyFont="1" applyFill="1" applyBorder="1" applyAlignment="1" applyProtection="1">
      <alignment vertical="top"/>
    </xf>
    <xf numFmtId="0" fontId="3" fillId="0" borderId="5" xfId="4" applyFont="1" applyFill="1" applyBorder="1" applyAlignment="1" applyProtection="1">
      <alignment horizontal="center" vertical="top"/>
    </xf>
    <xf numFmtId="0" fontId="3" fillId="4" borderId="5" xfId="12" applyNumberFormat="1" applyFont="1" applyFill="1" applyBorder="1" applyAlignment="1" applyProtection="1">
      <alignment horizontal="center" vertical="top" wrapText="1"/>
    </xf>
    <xf numFmtId="0" fontId="2" fillId="4" borderId="5" xfId="6" applyNumberFormat="1" applyFont="1" applyFill="1" applyBorder="1" applyAlignment="1" applyProtection="1">
      <alignment horizontal="center" vertical="top"/>
    </xf>
    <xf numFmtId="0" fontId="2" fillId="4" borderId="5" xfId="12" applyNumberFormat="1" applyFont="1" applyFill="1" applyBorder="1" applyAlignment="1" applyProtection="1">
      <alignment horizontal="left" vertical="top"/>
    </xf>
    <xf numFmtId="0" fontId="3" fillId="0" borderId="5" xfId="6" applyNumberFormat="1" applyFont="1" applyFill="1" applyBorder="1" applyAlignment="1" applyProtection="1">
      <alignment horizontal="center" vertical="top"/>
    </xf>
    <xf numFmtId="49" fontId="8" fillId="0" borderId="5" xfId="4" applyNumberFormat="1" applyFont="1" applyFill="1" applyBorder="1" applyAlignment="1" applyProtection="1">
      <alignment horizontal="left" vertical="top" wrapText="1"/>
    </xf>
    <xf numFmtId="0" fontId="3" fillId="0" borderId="5" xfId="0" applyNumberFormat="1" applyFont="1" applyFill="1" applyBorder="1" applyAlignment="1" applyProtection="1">
      <alignment horizontal="center" vertical="top"/>
    </xf>
    <xf numFmtId="0" fontId="3" fillId="0" borderId="5" xfId="12" applyNumberFormat="1" applyFont="1" applyFill="1" applyBorder="1" applyAlignment="1" applyProtection="1">
      <alignment horizontal="left" vertical="top" wrapText="1"/>
    </xf>
    <xf numFmtId="2" fontId="3" fillId="0" borderId="5" xfId="12" applyNumberFormat="1" applyFont="1" applyFill="1" applyBorder="1" applyAlignment="1" applyProtection="1">
      <alignment horizontal="center" wrapText="1"/>
    </xf>
    <xf numFmtId="0" fontId="3" fillId="0" borderId="5" xfId="0" applyNumberFormat="1" applyFont="1" applyFill="1" applyBorder="1" applyAlignment="1" applyProtection="1">
      <alignment horizontal="center"/>
    </xf>
    <xf numFmtId="0" fontId="2" fillId="4" borderId="5" xfId="0" applyNumberFormat="1" applyFont="1" applyFill="1" applyBorder="1" applyAlignment="1" applyProtection="1">
      <alignment horizontal="center" vertical="top"/>
    </xf>
    <xf numFmtId="0" fontId="2" fillId="4" borderId="0" xfId="12" applyNumberFormat="1" applyFont="1" applyFill="1" applyBorder="1" applyAlignment="1" applyProtection="1">
      <alignment horizontal="left" vertical="top"/>
    </xf>
    <xf numFmtId="0" fontId="3" fillId="4" borderId="5" xfId="0" applyNumberFormat="1" applyFont="1" applyFill="1" applyBorder="1" applyAlignment="1" applyProtection="1">
      <alignment horizontal="center"/>
    </xf>
    <xf numFmtId="0" fontId="3" fillId="4" borderId="6" xfId="12" applyNumberFormat="1" applyFont="1" applyFill="1" applyBorder="1" applyAlignment="1" applyProtection="1">
      <alignment horizontal="center" vertical="top" wrapText="1"/>
    </xf>
    <xf numFmtId="0" fontId="3" fillId="4" borderId="6" xfId="12" applyNumberFormat="1" applyFont="1" applyFill="1" applyBorder="1" applyAlignment="1" applyProtection="1">
      <alignment horizontal="left" vertical="top" wrapText="1"/>
    </xf>
    <xf numFmtId="0" fontId="3" fillId="4" borderId="6" xfId="0" applyNumberFormat="1" applyFont="1" applyFill="1" applyBorder="1" applyAlignment="1" applyProtection="1">
      <alignment horizontal="center"/>
    </xf>
    <xf numFmtId="0" fontId="3" fillId="4" borderId="4" xfId="12" applyNumberFormat="1" applyFont="1" applyFill="1" applyBorder="1" applyAlignment="1" applyProtection="1">
      <alignment horizontal="center" vertical="top" wrapText="1"/>
    </xf>
    <xf numFmtId="0" fontId="3" fillId="4" borderId="4" xfId="12" applyNumberFormat="1" applyFont="1" applyFill="1" applyBorder="1" applyAlignment="1" applyProtection="1">
      <alignment horizontal="left" vertical="top" wrapText="1"/>
    </xf>
    <xf numFmtId="2" fontId="3" fillId="4" borderId="4" xfId="12" applyNumberFormat="1" applyFont="1" applyFill="1" applyBorder="1" applyAlignment="1" applyProtection="1">
      <alignment horizontal="center" wrapText="1"/>
    </xf>
    <xf numFmtId="0" fontId="3" fillId="4" borderId="4" xfId="0" applyNumberFormat="1" applyFont="1" applyFill="1" applyBorder="1" applyAlignment="1" applyProtection="1">
      <alignment horizontal="center"/>
    </xf>
    <xf numFmtId="0" fontId="3" fillId="0" borderId="5" xfId="4" applyFont="1" applyFill="1" applyBorder="1" applyAlignment="1" applyProtection="1">
      <alignment vertical="top"/>
    </xf>
    <xf numFmtId="0" fontId="2" fillId="0" borderId="5" xfId="4" applyFont="1" applyFill="1" applyBorder="1" applyAlignment="1" applyProtection="1">
      <alignment horizontal="center"/>
    </xf>
    <xf numFmtId="0" fontId="2" fillId="0" borderId="6" xfId="4" applyNumberFormat="1" applyFont="1" applyFill="1" applyBorder="1" applyAlignment="1" applyProtection="1">
      <alignment horizontal="center" vertical="top"/>
    </xf>
    <xf numFmtId="0" fontId="2" fillId="0" borderId="6" xfId="4" applyNumberFormat="1" applyFont="1" applyFill="1" applyBorder="1" applyAlignment="1" applyProtection="1">
      <alignment horizontal="left" vertical="top"/>
    </xf>
    <xf numFmtId="2" fontId="3" fillId="0" borderId="6" xfId="5" applyNumberFormat="1" applyFont="1" applyFill="1" applyBorder="1" applyAlignment="1" applyProtection="1">
      <alignment horizontal="center"/>
    </xf>
    <xf numFmtId="0" fontId="3" fillId="0" borderId="6" xfId="5" applyFont="1" applyFill="1" applyBorder="1" applyAlignment="1" applyProtection="1">
      <alignment horizontal="center"/>
    </xf>
    <xf numFmtId="0" fontId="3" fillId="0" borderId="9" xfId="0" applyFont="1" applyFill="1" applyBorder="1" applyAlignment="1" applyProtection="1">
      <alignment horizontal="center" vertical="top"/>
    </xf>
    <xf numFmtId="0" fontId="3" fillId="0" borderId="9" xfId="0" quotePrefix="1" applyFont="1" applyFill="1" applyBorder="1" applyAlignment="1" applyProtection="1">
      <alignment horizontal="left" vertical="top"/>
    </xf>
    <xf numFmtId="4" fontId="3" fillId="0" borderId="9" xfId="0" applyNumberFormat="1" applyFont="1" applyFill="1" applyBorder="1" applyAlignment="1" applyProtection="1"/>
    <xf numFmtId="4" fontId="3" fillId="0" borderId="9" xfId="0" applyNumberFormat="1" applyFont="1" applyFill="1" applyBorder="1" applyAlignment="1" applyProtection="1">
      <alignment horizontal="center"/>
    </xf>
    <xf numFmtId="0" fontId="3" fillId="0" borderId="0" xfId="0" applyFont="1" applyFill="1" applyBorder="1" applyAlignment="1" applyProtection="1">
      <alignment horizontal="center" vertical="top"/>
    </xf>
    <xf numFmtId="4" fontId="3" fillId="0" borderId="0" xfId="0" applyNumberFormat="1" applyFont="1" applyFill="1" applyBorder="1" applyAlignment="1" applyProtection="1"/>
    <xf numFmtId="4" fontId="3" fillId="0" borderId="0" xfId="0" applyNumberFormat="1" applyFont="1" applyFill="1" applyBorder="1" applyAlignment="1" applyProtection="1">
      <alignment horizontal="center"/>
    </xf>
    <xf numFmtId="0" fontId="3" fillId="0" borderId="0" xfId="4" applyFont="1" applyFill="1" applyBorder="1" applyAlignment="1" applyProtection="1">
      <alignment horizontal="center" vertical="top" wrapText="1"/>
    </xf>
    <xf numFmtId="2" fontId="3" fillId="0" borderId="0" xfId="4" applyNumberFormat="1" applyFont="1" applyFill="1" applyBorder="1" applyAlignment="1" applyProtection="1">
      <alignment horizontal="center" wrapText="1"/>
    </xf>
    <xf numFmtId="0" fontId="11" fillId="0" borderId="0" xfId="4" quotePrefix="1" applyFont="1" applyFill="1" applyBorder="1" applyAlignment="1" applyProtection="1">
      <alignment horizontal="left" vertical="top" wrapText="1"/>
    </xf>
    <xf numFmtId="2" fontId="3" fillId="0" borderId="0" xfId="0" applyNumberFormat="1" applyFont="1" applyFill="1" applyBorder="1" applyAlignment="1" applyProtection="1">
      <alignment horizontal="left"/>
    </xf>
    <xf numFmtId="0" fontId="3" fillId="0" borderId="0" xfId="5" quotePrefix="1" applyFont="1" applyFill="1" applyBorder="1" applyAlignment="1" applyProtection="1">
      <alignment horizontal="left" vertical="top"/>
    </xf>
    <xf numFmtId="0" fontId="3" fillId="0" borderId="0" xfId="5" quotePrefix="1" applyFont="1" applyFill="1" applyBorder="1" applyAlignment="1" applyProtection="1">
      <alignment horizontal="left"/>
    </xf>
    <xf numFmtId="0" fontId="2" fillId="0" borderId="0" xfId="4" applyFont="1" applyFill="1" applyBorder="1" applyAlignment="1" applyProtection="1">
      <alignment horizontal="center"/>
    </xf>
    <xf numFmtId="4" fontId="3" fillId="0" borderId="11" xfId="4" applyNumberFormat="1" applyFont="1" applyFill="1" applyBorder="1" applyAlignment="1" applyProtection="1">
      <alignment horizontal="right"/>
      <protection locked="0"/>
    </xf>
    <xf numFmtId="4" fontId="3" fillId="0" borderId="12" xfId="4" applyNumberFormat="1" applyFont="1" applyFill="1" applyBorder="1" applyAlignment="1" applyProtection="1">
      <alignment horizontal="right"/>
      <protection locked="0"/>
    </xf>
    <xf numFmtId="4" fontId="3" fillId="0" borderId="13" xfId="4" applyNumberFormat="1" applyFont="1" applyFill="1" applyBorder="1" applyAlignment="1" applyProtection="1">
      <alignment horizontal="right"/>
      <protection locked="0"/>
    </xf>
    <xf numFmtId="4" fontId="3" fillId="0" borderId="1" xfId="4" applyNumberFormat="1" applyFont="1" applyFill="1" applyBorder="1" applyAlignment="1" applyProtection="1">
      <alignment horizontal="right"/>
      <protection locked="0"/>
    </xf>
    <xf numFmtId="4" fontId="3" fillId="0" borderId="2" xfId="4" applyNumberFormat="1" applyFont="1" applyFill="1" applyBorder="1" applyAlignment="1" applyProtection="1">
      <alignment horizontal="right"/>
      <protection locked="0"/>
    </xf>
    <xf numFmtId="4" fontId="3" fillId="0" borderId="3" xfId="4" applyNumberFormat="1" applyFont="1" applyFill="1" applyBorder="1" applyAlignment="1" applyProtection="1">
      <alignment horizontal="right"/>
      <protection locked="0"/>
    </xf>
    <xf numFmtId="4" fontId="11" fillId="0" borderId="5" xfId="7" applyNumberFormat="1" applyFont="1" applyFill="1" applyBorder="1" applyAlignment="1" applyProtection="1">
      <alignment horizontal="right" wrapText="1"/>
      <protection locked="0"/>
    </xf>
    <xf numFmtId="4" fontId="3" fillId="0" borderId="5" xfId="4" applyNumberFormat="1" applyFont="1" applyFill="1" applyBorder="1" applyAlignment="1" applyProtection="1">
      <alignment horizontal="right"/>
      <protection locked="0"/>
    </xf>
    <xf numFmtId="4" fontId="3" fillId="0" borderId="5" xfId="3" applyNumberFormat="1" applyFont="1" applyFill="1" applyBorder="1" applyAlignment="1" applyProtection="1">
      <alignment horizontal="right" wrapText="1"/>
      <protection locked="0"/>
    </xf>
    <xf numFmtId="4" fontId="3" fillId="4" borderId="5" xfId="6" applyNumberFormat="1" applyFont="1" applyFill="1" applyBorder="1" applyAlignment="1" applyProtection="1">
      <alignment horizontal="right" vertical="center"/>
      <protection locked="0"/>
    </xf>
    <xf numFmtId="4" fontId="3" fillId="4" borderId="5" xfId="1" applyNumberFormat="1" applyFont="1" applyFill="1" applyBorder="1" applyAlignment="1" applyProtection="1">
      <alignment horizontal="right" vertical="center"/>
      <protection locked="0"/>
    </xf>
    <xf numFmtId="4" fontId="3" fillId="4" borderId="6" xfId="6" applyNumberFormat="1" applyFont="1" applyFill="1" applyBorder="1" applyAlignment="1" applyProtection="1">
      <alignment horizontal="right" vertical="center"/>
      <protection locked="0"/>
    </xf>
    <xf numFmtId="4" fontId="3" fillId="4" borderId="6" xfId="1" applyNumberFormat="1" applyFont="1" applyFill="1" applyBorder="1" applyAlignment="1" applyProtection="1">
      <alignment horizontal="right" vertical="center"/>
      <protection locked="0"/>
    </xf>
    <xf numFmtId="4" fontId="3" fillId="0" borderId="4" xfId="3" applyNumberFormat="1" applyFont="1" applyFill="1" applyBorder="1" applyAlignment="1" applyProtection="1">
      <alignment horizontal="right" wrapText="1"/>
      <protection locked="0"/>
    </xf>
    <xf numFmtId="4" fontId="3" fillId="0" borderId="5" xfId="5" applyNumberFormat="1" applyFont="1" applyFill="1" applyBorder="1" applyAlignment="1" applyProtection="1">
      <alignment horizontal="right"/>
      <protection locked="0"/>
    </xf>
    <xf numFmtId="4" fontId="3" fillId="0" borderId="5" xfId="0" applyNumberFormat="1" applyFont="1" applyFill="1" applyBorder="1" applyAlignment="1" applyProtection="1">
      <alignment horizontal="right" vertical="center"/>
      <protection locked="0"/>
    </xf>
    <xf numFmtId="4" fontId="3" fillId="0" borderId="5" xfId="1" applyNumberFormat="1" applyFont="1" applyFill="1" applyBorder="1" applyAlignment="1" applyProtection="1">
      <alignment horizontal="right" vertical="center"/>
      <protection locked="0"/>
    </xf>
    <xf numFmtId="4" fontId="3" fillId="0" borderId="6" xfId="3" applyNumberFormat="1" applyFont="1" applyFill="1" applyBorder="1" applyAlignment="1" applyProtection="1">
      <alignment horizontal="right" wrapText="1"/>
      <protection locked="0"/>
    </xf>
    <xf numFmtId="4" fontId="11" fillId="0" borderId="5" xfId="3" applyNumberFormat="1" applyFont="1" applyFill="1" applyBorder="1" applyAlignment="1" applyProtection="1">
      <alignment horizontal="right" wrapText="1"/>
      <protection locked="0"/>
    </xf>
    <xf numFmtId="4" fontId="3" fillId="4" borderId="5" xfId="0" applyNumberFormat="1" applyFont="1" applyFill="1" applyBorder="1" applyAlignment="1" applyProtection="1">
      <alignment horizontal="right" vertical="center"/>
      <protection locked="0"/>
    </xf>
    <xf numFmtId="4" fontId="3" fillId="4" borderId="6" xfId="0" applyNumberFormat="1" applyFont="1" applyFill="1" applyBorder="1" applyAlignment="1" applyProtection="1">
      <alignment horizontal="right" vertical="center"/>
      <protection locked="0"/>
    </xf>
    <xf numFmtId="4" fontId="3" fillId="4" borderId="4" xfId="0" applyNumberFormat="1" applyFont="1" applyFill="1" applyBorder="1" applyAlignment="1" applyProtection="1">
      <alignment horizontal="right" vertical="center"/>
      <protection locked="0"/>
    </xf>
    <xf numFmtId="4" fontId="3" fillId="4" borderId="4" xfId="1" applyNumberFormat="1" applyFont="1" applyFill="1" applyBorder="1" applyAlignment="1" applyProtection="1">
      <alignment horizontal="right" vertical="center"/>
      <protection locked="0"/>
    </xf>
    <xf numFmtId="4" fontId="3" fillId="0" borderId="6" xfId="5" applyNumberFormat="1" applyFont="1" applyFill="1" applyBorder="1" applyAlignment="1" applyProtection="1">
      <alignment horizontal="right"/>
      <protection locked="0"/>
    </xf>
    <xf numFmtId="4" fontId="3" fillId="0" borderId="9" xfId="0" applyNumberFormat="1" applyFont="1" applyFill="1" applyBorder="1" applyAlignment="1" applyProtection="1">
      <alignment horizontal="right"/>
      <protection locked="0"/>
    </xf>
    <xf numFmtId="4" fontId="3" fillId="0" borderId="4" xfId="4" applyNumberFormat="1" applyFont="1" applyFill="1" applyBorder="1" applyAlignment="1" applyProtection="1">
      <alignment horizontal="right"/>
      <protection locked="0"/>
    </xf>
    <xf numFmtId="4" fontId="3" fillId="0" borderId="6" xfId="4" applyNumberFormat="1" applyFont="1" applyFill="1" applyBorder="1" applyAlignment="1" applyProtection="1">
      <alignment horizontal="right"/>
      <protection locked="0"/>
    </xf>
    <xf numFmtId="2" fontId="3" fillId="0" borderId="5" xfId="5" applyNumberFormat="1" applyFont="1" applyFill="1" applyBorder="1" applyAlignment="1" applyProtection="1">
      <alignment horizontal="center"/>
      <protection locked="0"/>
    </xf>
    <xf numFmtId="0" fontId="3" fillId="0" borderId="0" xfId="4" applyNumberFormat="1" applyFont="1" applyFill="1" applyBorder="1" applyAlignment="1" applyProtection="1">
      <alignment horizontal="left" wrapText="1"/>
      <protection locked="0"/>
    </xf>
    <xf numFmtId="0" fontId="7" fillId="0" borderId="0" xfId="4" applyNumberFormat="1" applyFont="1" applyFill="1" applyBorder="1" applyAlignment="1" applyProtection="1">
      <alignment horizontal="left" wrapText="1"/>
      <protection locked="0"/>
    </xf>
    <xf numFmtId="43" fontId="3" fillId="4" borderId="0" xfId="1" applyFont="1" applyFill="1" applyBorder="1" applyAlignment="1" applyProtection="1">
      <alignment horizontal="center" vertical="center"/>
      <protection locked="0"/>
    </xf>
    <xf numFmtId="4" fontId="3" fillId="0" borderId="5" xfId="4" applyNumberFormat="1" applyFont="1" applyFill="1" applyBorder="1" applyAlignment="1" applyProtection="1">
      <alignment horizontal="right" vertical="top" wrapText="1"/>
      <protection locked="0"/>
    </xf>
    <xf numFmtId="0" fontId="3" fillId="0" borderId="5" xfId="5" applyFont="1" applyFill="1" applyBorder="1" applyAlignment="1" applyProtection="1">
      <protection locked="0"/>
    </xf>
    <xf numFmtId="4" fontId="3" fillId="0" borderId="0" xfId="5" applyNumberFormat="1" applyFont="1" applyFill="1" applyBorder="1" applyAlignment="1" applyProtection="1">
      <alignment horizontal="right"/>
      <protection locked="0"/>
    </xf>
    <xf numFmtId="4" fontId="3" fillId="4" borderId="0" xfId="1" applyNumberFormat="1" applyFont="1" applyFill="1" applyBorder="1" applyAlignment="1" applyProtection="1">
      <alignment horizontal="right" vertical="center"/>
      <protection locked="0"/>
    </xf>
    <xf numFmtId="0" fontId="3" fillId="0" borderId="0" xfId="5" applyFont="1" applyFill="1" applyBorder="1" applyAlignment="1" applyProtection="1">
      <protection locked="0"/>
    </xf>
    <xf numFmtId="4" fontId="3" fillId="2" borderId="0" xfId="4" applyNumberFormat="1" applyFont="1" applyFill="1" applyBorder="1" applyAlignment="1" applyProtection="1">
      <alignment horizontal="right" wrapText="1"/>
      <protection locked="0"/>
    </xf>
    <xf numFmtId="4" fontId="3" fillId="2" borderId="0" xfId="4" applyNumberFormat="1" applyFont="1" applyFill="1" applyBorder="1" applyAlignment="1" applyProtection="1">
      <alignment horizontal="center" wrapText="1"/>
      <protection locked="0"/>
    </xf>
    <xf numFmtId="0" fontId="3" fillId="0" borderId="0" xfId="4" applyFont="1" applyFill="1" applyBorder="1" applyAlignment="1" applyProtection="1"/>
    <xf numFmtId="0" fontId="3" fillId="4" borderId="0" xfId="0" applyFont="1" applyFill="1" applyBorder="1" applyAlignment="1" applyProtection="1">
      <alignment horizontal="left"/>
    </xf>
    <xf numFmtId="0" fontId="2" fillId="4" borderId="0" xfId="0" applyFont="1" applyFill="1" applyBorder="1" applyAlignment="1" applyProtection="1"/>
    <xf numFmtId="0" fontId="3" fillId="4" borderId="0" xfId="0" applyFont="1" applyFill="1" applyBorder="1" applyAlignment="1" applyProtection="1"/>
    <xf numFmtId="0" fontId="3" fillId="4" borderId="0" xfId="0" quotePrefix="1" applyFont="1" applyFill="1" applyBorder="1" applyAlignment="1" applyProtection="1">
      <alignment horizontal="left"/>
    </xf>
    <xf numFmtId="0" fontId="3" fillId="0" borderId="0" xfId="4" applyFont="1" applyFill="1" applyBorder="1" applyAlignment="1" applyProtection="1">
      <alignment wrapText="1"/>
    </xf>
    <xf numFmtId="0" fontId="5" fillId="4" borderId="0" xfId="0" applyFont="1" applyFill="1" applyBorder="1" applyAlignment="1" applyProtection="1">
      <alignment horizontal="center"/>
    </xf>
    <xf numFmtId="0" fontId="5" fillId="0" borderId="0" xfId="4" applyFont="1" applyFill="1" applyBorder="1" applyAlignment="1" applyProtection="1">
      <alignment horizontal="left"/>
    </xf>
    <xf numFmtId="2" fontId="3" fillId="0" borderId="0" xfId="4" applyNumberFormat="1" applyFont="1" applyFill="1" applyBorder="1" applyAlignment="1" applyProtection="1">
      <alignment horizontal="center"/>
    </xf>
    <xf numFmtId="0" fontId="3" fillId="0" borderId="0" xfId="4" applyFont="1" applyFill="1" applyBorder="1" applyAlignment="1" applyProtection="1">
      <alignment horizontal="left" indent="1"/>
    </xf>
    <xf numFmtId="0" fontId="3" fillId="0" borderId="0" xfId="4" applyFont="1" applyFill="1" applyBorder="1" applyAlignment="1" applyProtection="1">
      <alignment horizontal="left" wrapText="1" indent="1"/>
    </xf>
    <xf numFmtId="0" fontId="4" fillId="0" borderId="0" xfId="4" applyFont="1" applyFill="1" applyBorder="1" applyAlignment="1" applyProtection="1"/>
    <xf numFmtId="0" fontId="2" fillId="0" borderId="0" xfId="4" applyFont="1" applyFill="1" applyBorder="1" applyAlignment="1" applyProtection="1">
      <alignment horizontal="right"/>
    </xf>
    <xf numFmtId="2" fontId="7" fillId="0" borderId="0" xfId="4" applyNumberFormat="1" applyFont="1" applyFill="1" applyBorder="1" applyAlignment="1" applyProtection="1">
      <alignment horizontal="center"/>
    </xf>
    <xf numFmtId="0" fontId="2" fillId="0" borderId="0" xfId="0" applyFont="1" applyFill="1" applyBorder="1" applyAlignment="1" applyProtection="1"/>
    <xf numFmtId="0" fontId="3" fillId="0" borderId="0" xfId="0" quotePrefix="1" applyFont="1" applyFill="1" applyBorder="1" applyAlignment="1" applyProtection="1">
      <alignment horizontal="left"/>
    </xf>
    <xf numFmtId="0" fontId="2" fillId="0" borderId="0" xfId="0" applyFont="1" applyFill="1" applyBorder="1" applyAlignment="1" applyProtection="1">
      <alignment horizontal="left"/>
    </xf>
    <xf numFmtId="0" fontId="2" fillId="4" borderId="5" xfId="4" applyNumberFormat="1" applyFont="1" applyFill="1" applyBorder="1" applyAlignment="1" applyProtection="1">
      <alignment horizontal="center"/>
    </xf>
    <xf numFmtId="2" fontId="2" fillId="0" borderId="5" xfId="4" applyNumberFormat="1" applyFont="1" applyFill="1" applyBorder="1" applyAlignment="1" applyProtection="1">
      <alignment horizontal="center"/>
    </xf>
    <xf numFmtId="0" fontId="3" fillId="4" borderId="5" xfId="4" applyFont="1" applyFill="1" applyBorder="1" applyAlignment="1" applyProtection="1">
      <alignment horizontal="center" wrapText="1"/>
    </xf>
    <xf numFmtId="0" fontId="5" fillId="0" borderId="5" xfId="4" applyFont="1" applyFill="1" applyBorder="1" applyAlignment="1" applyProtection="1">
      <alignment horizontal="left"/>
    </xf>
    <xf numFmtId="0" fontId="8" fillId="0" borderId="5" xfId="4" applyFont="1" applyFill="1" applyBorder="1" applyAlignment="1" applyProtection="1">
      <alignment horizontal="left"/>
    </xf>
    <xf numFmtId="0" fontId="2" fillId="4" borderId="5" xfId="4" applyFont="1" applyFill="1" applyBorder="1" applyAlignment="1" applyProtection="1">
      <alignment horizontal="center"/>
    </xf>
    <xf numFmtId="0" fontId="2" fillId="0" borderId="5" xfId="4" applyFont="1" applyFill="1" applyBorder="1" applyAlignment="1" applyProtection="1">
      <alignment horizontal="left"/>
    </xf>
    <xf numFmtId="0" fontId="6" fillId="0" borderId="5" xfId="4" applyFont="1" applyFill="1" applyBorder="1" applyAlignment="1" applyProtection="1">
      <alignment horizontal="left" wrapText="1"/>
    </xf>
    <xf numFmtId="0" fontId="7" fillId="0" borderId="5" xfId="4" applyFont="1" applyFill="1" applyBorder="1" applyAlignment="1" applyProtection="1">
      <alignment horizontal="left" wrapText="1"/>
    </xf>
    <xf numFmtId="2" fontId="3" fillId="0" borderId="5" xfId="3" applyNumberFormat="1" applyFont="1" applyFill="1" applyBorder="1" applyAlignment="1" applyProtection="1">
      <alignment horizontal="center" wrapText="1"/>
    </xf>
    <xf numFmtId="0" fontId="3" fillId="4" borderId="5" xfId="4" applyFont="1" applyFill="1" applyBorder="1" applyAlignment="1" applyProtection="1">
      <alignment horizontal="center" vertical="top" wrapText="1"/>
    </xf>
    <xf numFmtId="0" fontId="3" fillId="0" borderId="5" xfId="4" applyNumberFormat="1" applyFont="1" applyFill="1" applyBorder="1" applyAlignment="1" applyProtection="1">
      <alignment horizontal="left" wrapText="1"/>
    </xf>
    <xf numFmtId="0" fontId="3" fillId="4" borderId="6" xfId="4" applyFont="1" applyFill="1" applyBorder="1" applyAlignment="1" applyProtection="1">
      <alignment horizontal="center" wrapText="1"/>
    </xf>
    <xf numFmtId="0" fontId="3" fillId="0" borderId="6" xfId="4" applyFont="1" applyFill="1" applyBorder="1" applyAlignment="1" applyProtection="1">
      <alignment horizontal="left" wrapText="1"/>
    </xf>
    <xf numFmtId="0" fontId="3" fillId="4" borderId="4" xfId="4" applyFont="1" applyFill="1" applyBorder="1" applyAlignment="1" applyProtection="1">
      <alignment horizontal="center" wrapText="1"/>
    </xf>
    <xf numFmtId="0" fontId="3" fillId="0" borderId="4" xfId="4" applyFont="1" applyFill="1" applyBorder="1" applyAlignment="1" applyProtection="1">
      <alignment horizontal="left" wrapText="1"/>
    </xf>
    <xf numFmtId="0" fontId="6" fillId="0" borderId="5" xfId="4" quotePrefix="1" applyFont="1" applyFill="1" applyBorder="1" applyAlignment="1" applyProtection="1">
      <alignment horizontal="left" wrapText="1"/>
    </xf>
    <xf numFmtId="0" fontId="3" fillId="4" borderId="6" xfId="4" applyFont="1" applyFill="1" applyBorder="1" applyAlignment="1" applyProtection="1">
      <alignment horizontal="center" vertical="top" wrapText="1"/>
    </xf>
    <xf numFmtId="0" fontId="3" fillId="0" borderId="6" xfId="4" applyNumberFormat="1" applyFont="1" applyFill="1" applyBorder="1" applyAlignment="1" applyProtection="1">
      <alignment horizontal="left" wrapText="1"/>
    </xf>
    <xf numFmtId="0" fontId="2" fillId="0" borderId="5" xfId="4" applyFont="1" applyFill="1" applyBorder="1" applyAlignment="1" applyProtection="1">
      <alignment horizontal="left" vertical="top"/>
    </xf>
    <xf numFmtId="2" fontId="3" fillId="0" borderId="5" xfId="5" applyNumberFormat="1" applyFont="1" applyFill="1" applyBorder="1" applyAlignment="1" applyProtection="1">
      <alignment horizontal="center"/>
    </xf>
    <xf numFmtId="0" fontId="3" fillId="0" borderId="5" xfId="5" applyFont="1" applyFill="1" applyBorder="1" applyAlignment="1" applyProtection="1">
      <alignment horizontal="center"/>
    </xf>
    <xf numFmtId="0" fontId="6" fillId="0" borderId="5" xfId="5" applyFont="1" applyFill="1" applyBorder="1" applyAlignment="1" applyProtection="1">
      <alignment wrapText="1"/>
    </xf>
    <xf numFmtId="0" fontId="3" fillId="0" borderId="5" xfId="5" applyFont="1" applyFill="1" applyBorder="1" applyProtection="1"/>
    <xf numFmtId="0" fontId="2" fillId="0" borderId="5" xfId="5" applyFont="1" applyFill="1" applyBorder="1" applyAlignment="1" applyProtection="1"/>
    <xf numFmtId="0" fontId="2" fillId="0" borderId="5" xfId="4" applyFont="1" applyFill="1" applyBorder="1" applyAlignment="1" applyProtection="1">
      <alignment horizontal="center" wrapText="1"/>
    </xf>
    <xf numFmtId="0" fontId="6" fillId="4" borderId="5" xfId="4" quotePrefix="1" applyFont="1" applyFill="1" applyBorder="1" applyAlignment="1" applyProtection="1">
      <alignment horizontal="left" wrapText="1"/>
    </xf>
    <xf numFmtId="0" fontId="3" fillId="4" borderId="6" xfId="4" applyFont="1" applyFill="1" applyBorder="1" applyAlignment="1" applyProtection="1">
      <alignment horizontal="left" wrapText="1"/>
    </xf>
    <xf numFmtId="2" fontId="3" fillId="4" borderId="6" xfId="0" applyNumberFormat="1" applyFont="1" applyFill="1" applyBorder="1" applyAlignment="1" applyProtection="1">
      <alignment horizontal="center" wrapText="1"/>
    </xf>
    <xf numFmtId="2" fontId="3" fillId="4" borderId="6" xfId="4" applyNumberFormat="1" applyFont="1" applyFill="1" applyBorder="1" applyAlignment="1" applyProtection="1">
      <alignment horizontal="center" wrapText="1"/>
    </xf>
    <xf numFmtId="2" fontId="3" fillId="4" borderId="4" xfId="0" applyNumberFormat="1" applyFont="1" applyFill="1" applyBorder="1" applyAlignment="1" applyProtection="1">
      <alignment horizontal="center" wrapText="1"/>
    </xf>
    <xf numFmtId="0" fontId="2" fillId="0" borderId="5" xfId="4" applyNumberFormat="1" applyFont="1" applyFill="1" applyBorder="1" applyAlignment="1" applyProtection="1">
      <alignment horizontal="left"/>
    </xf>
    <xf numFmtId="0" fontId="4" fillId="0" borderId="5" xfId="4" applyFont="1" applyFill="1" applyBorder="1" applyAlignment="1" applyProtection="1">
      <alignment horizontal="left"/>
    </xf>
    <xf numFmtId="0" fontId="3" fillId="0" borderId="5" xfId="4" applyFont="1" applyFill="1" applyBorder="1" applyAlignment="1" applyProtection="1">
      <alignment horizontal="center" vertical="center" wrapText="1"/>
    </xf>
    <xf numFmtId="2" fontId="3" fillId="0" borderId="5" xfId="4" applyNumberFormat="1" applyFont="1" applyFill="1" applyBorder="1" applyAlignment="1" applyProtection="1">
      <alignment horizontal="center" vertical="center" wrapText="1"/>
    </xf>
    <xf numFmtId="0" fontId="3" fillId="0" borderId="5" xfId="4" quotePrefix="1" applyFont="1" applyFill="1" applyBorder="1" applyAlignment="1" applyProtection="1">
      <alignment horizontal="left" wrapText="1"/>
    </xf>
    <xf numFmtId="0" fontId="3" fillId="5" borderId="5" xfId="11" applyNumberFormat="1" applyFont="1" applyFill="1" applyBorder="1" applyAlignment="1" applyProtection="1">
      <alignment horizontal="left" vertical="center" wrapText="1"/>
    </xf>
    <xf numFmtId="0" fontId="3" fillId="4" borderId="5" xfId="11" applyNumberFormat="1" applyFont="1" applyFill="1" applyBorder="1" applyAlignment="1" applyProtection="1">
      <alignment horizontal="left" vertical="center" wrapText="1"/>
    </xf>
    <xf numFmtId="0" fontId="3" fillId="2" borderId="5" xfId="4" quotePrefix="1" applyNumberFormat="1" applyFont="1" applyFill="1" applyBorder="1" applyAlignment="1" applyProtection="1">
      <alignment horizontal="left" vertical="top" wrapText="1"/>
    </xf>
    <xf numFmtId="0" fontId="3" fillId="0" borderId="4" xfId="4" quotePrefix="1" applyFont="1" applyFill="1" applyBorder="1" applyAlignment="1" applyProtection="1">
      <alignment horizontal="left" wrapText="1"/>
    </xf>
    <xf numFmtId="0" fontId="6" fillId="5" borderId="5" xfId="7" applyNumberFormat="1" applyFont="1" applyFill="1" applyBorder="1" applyAlignment="1" applyProtection="1">
      <alignment horizontal="left" vertical="center" wrapText="1"/>
    </xf>
    <xf numFmtId="0" fontId="3" fillId="0" borderId="5" xfId="7" applyFont="1" applyFill="1" applyBorder="1" applyAlignment="1" applyProtection="1">
      <alignment horizontal="center" wrapText="1"/>
    </xf>
    <xf numFmtId="0" fontId="3" fillId="5" borderId="5" xfId="7" applyNumberFormat="1" applyFont="1" applyFill="1" applyBorder="1" applyAlignment="1" applyProtection="1">
      <alignment horizontal="left" wrapText="1"/>
    </xf>
    <xf numFmtId="0" fontId="6" fillId="4" borderId="5" xfId="11" applyNumberFormat="1" applyFont="1" applyFill="1" applyBorder="1" applyAlignment="1" applyProtection="1">
      <alignment horizontal="left" vertical="center" wrapText="1"/>
    </xf>
    <xf numFmtId="0" fontId="6" fillId="0" borderId="5" xfId="4" applyNumberFormat="1" applyFont="1" applyFill="1" applyBorder="1" applyAlignment="1" applyProtection="1">
      <alignment horizontal="left" wrapText="1"/>
    </xf>
    <xf numFmtId="0" fontId="3" fillId="0" borderId="5" xfId="4" applyFont="1" applyFill="1" applyBorder="1" applyProtection="1"/>
    <xf numFmtId="2" fontId="3" fillId="0" borderId="5" xfId="4" applyNumberFormat="1" applyFont="1" applyFill="1" applyBorder="1" applyAlignment="1" applyProtection="1">
      <alignment horizontal="left" wrapText="1"/>
    </xf>
    <xf numFmtId="0" fontId="6" fillId="0" borderId="5" xfId="0" quotePrefix="1" applyFont="1" applyFill="1" applyBorder="1" applyAlignment="1" applyProtection="1">
      <alignment horizontal="left" vertical="top" wrapText="1"/>
    </xf>
    <xf numFmtId="0" fontId="3" fillId="0" borderId="6" xfId="4" applyFont="1" applyFill="1" applyBorder="1" applyAlignment="1" applyProtection="1">
      <alignment horizontal="center"/>
    </xf>
    <xf numFmtId="0" fontId="3" fillId="0" borderId="6" xfId="4" applyFont="1" applyFill="1" applyBorder="1" applyProtection="1"/>
    <xf numFmtId="2" fontId="3" fillId="0" borderId="6" xfId="4" applyNumberFormat="1" applyFont="1" applyFill="1" applyBorder="1" applyAlignment="1" applyProtection="1">
      <alignment horizontal="center"/>
    </xf>
    <xf numFmtId="0" fontId="6" fillId="6" borderId="5" xfId="4" applyNumberFormat="1" applyFont="1" applyFill="1" applyBorder="1" applyAlignment="1" applyProtection="1">
      <alignment horizontal="left" vertical="center" wrapText="1"/>
    </xf>
    <xf numFmtId="0" fontId="3" fillId="4" borderId="5" xfId="4" applyFont="1" applyFill="1" applyBorder="1" applyAlignment="1" applyProtection="1">
      <alignment horizontal="center"/>
    </xf>
    <xf numFmtId="0" fontId="6" fillId="4" borderId="5" xfId="4" applyFont="1" applyFill="1" applyBorder="1" applyAlignment="1" applyProtection="1">
      <alignment horizontal="left" wrapText="1"/>
    </xf>
    <xf numFmtId="2" fontId="3" fillId="4" borderId="5" xfId="4" applyNumberFormat="1" applyFont="1" applyFill="1" applyBorder="1" applyAlignment="1" applyProtection="1">
      <alignment horizontal="center"/>
    </xf>
    <xf numFmtId="0" fontId="3" fillId="4" borderId="5" xfId="4" applyNumberFormat="1" applyFont="1" applyFill="1" applyBorder="1" applyAlignment="1" applyProtection="1">
      <alignment horizontal="left" wrapText="1"/>
    </xf>
    <xf numFmtId="0" fontId="6" fillId="4" borderId="5" xfId="4" applyFont="1" applyFill="1" applyBorder="1" applyAlignment="1" applyProtection="1">
      <alignment wrapText="1"/>
    </xf>
    <xf numFmtId="0" fontId="3" fillId="4" borderId="6" xfId="4" applyNumberFormat="1" applyFont="1" applyFill="1" applyBorder="1" applyAlignment="1" applyProtection="1">
      <alignment horizontal="left" wrapText="1"/>
    </xf>
    <xf numFmtId="2" fontId="3" fillId="4" borderId="6" xfId="4" applyNumberFormat="1" applyFont="1" applyFill="1" applyBorder="1" applyAlignment="1" applyProtection="1">
      <alignment horizontal="center"/>
    </xf>
    <xf numFmtId="0" fontId="6" fillId="4" borderId="5" xfId="12" applyNumberFormat="1" applyFont="1" applyFill="1" applyBorder="1" applyAlignment="1" applyProtection="1">
      <alignment horizontal="left" vertical="center" wrapText="1"/>
    </xf>
    <xf numFmtId="0" fontId="3" fillId="4" borderId="5" xfId="12" applyNumberFormat="1" applyFont="1" applyFill="1" applyBorder="1" applyAlignment="1" applyProtection="1">
      <alignment horizontal="left" vertical="center" wrapText="1"/>
    </xf>
    <xf numFmtId="0" fontId="3" fillId="0" borderId="6" xfId="4" quotePrefix="1" applyFont="1" applyFill="1" applyBorder="1" applyAlignment="1" applyProtection="1">
      <alignment horizontal="left" wrapText="1"/>
    </xf>
    <xf numFmtId="0" fontId="2" fillId="4" borderId="5" xfId="6" applyNumberFormat="1" applyFont="1" applyFill="1" applyBorder="1" applyAlignment="1" applyProtection="1">
      <alignment horizontal="center" vertical="center"/>
    </xf>
    <xf numFmtId="0" fontId="2" fillId="4" borderId="5" xfId="12" applyNumberFormat="1" applyFont="1" applyFill="1" applyBorder="1" applyAlignment="1" applyProtection="1">
      <alignment horizontal="left" vertical="center"/>
    </xf>
    <xf numFmtId="2" fontId="3" fillId="4" borderId="5" xfId="12" applyNumberFormat="1" applyFont="1" applyFill="1" applyBorder="1" applyAlignment="1" applyProtection="1">
      <alignment horizontal="center" vertical="center" wrapText="1"/>
    </xf>
    <xf numFmtId="0" fontId="3" fillId="4" borderId="5" xfId="6" applyNumberFormat="1" applyFont="1" applyFill="1" applyBorder="1" applyAlignment="1" applyProtection="1">
      <alignment horizontal="center" vertical="center"/>
    </xf>
    <xf numFmtId="49" fontId="8" fillId="0" borderId="5" xfId="4" applyNumberFormat="1" applyFont="1" applyFill="1" applyBorder="1" applyAlignment="1" applyProtection="1">
      <alignment horizontal="left" wrapText="1"/>
    </xf>
    <xf numFmtId="0" fontId="3" fillId="0" borderId="5" xfId="0" applyNumberFormat="1" applyFont="1" applyFill="1" applyBorder="1" applyAlignment="1" applyProtection="1">
      <alignment horizontal="center" vertical="center"/>
    </xf>
    <xf numFmtId="0" fontId="3" fillId="0" borderId="5" xfId="12" applyNumberFormat="1" applyFont="1" applyFill="1" applyBorder="1" applyAlignment="1" applyProtection="1">
      <alignment horizontal="left" vertical="center" wrapText="1"/>
    </xf>
    <xf numFmtId="2" fontId="3" fillId="0" borderId="5" xfId="12" applyNumberFormat="1" applyFont="1" applyFill="1" applyBorder="1" applyAlignment="1" applyProtection="1">
      <alignment horizontal="center" vertical="center" wrapText="1"/>
    </xf>
    <xf numFmtId="0" fontId="2" fillId="0" borderId="5" xfId="5" applyFont="1" applyFill="1" applyBorder="1" applyAlignment="1" applyProtection="1">
      <alignment horizontal="left"/>
    </xf>
    <xf numFmtId="0" fontId="8" fillId="4" borderId="5" xfId="4" applyFont="1" applyFill="1" applyBorder="1" applyAlignment="1" applyProtection="1">
      <alignment horizontal="right" vertical="top"/>
    </xf>
    <xf numFmtId="0" fontId="8" fillId="0" borderId="5" xfId="4" applyFont="1" applyFill="1" applyBorder="1" applyAlignment="1" applyProtection="1">
      <alignment horizontal="left" wrapText="1"/>
    </xf>
    <xf numFmtId="0" fontId="7" fillId="0" borderId="5" xfId="4" applyNumberFormat="1" applyFont="1" applyFill="1" applyBorder="1" applyAlignment="1" applyProtection="1">
      <alignment horizontal="left" wrapText="1"/>
    </xf>
    <xf numFmtId="2" fontId="3" fillId="0" borderId="6" xfId="8" applyNumberFormat="1" applyFont="1" applyFill="1" applyBorder="1" applyAlignment="1" applyProtection="1">
      <alignment horizontal="center" wrapText="1"/>
    </xf>
    <xf numFmtId="0" fontId="3" fillId="4" borderId="4" xfId="4" applyFont="1" applyFill="1" applyBorder="1" applyAlignment="1" applyProtection="1">
      <alignment horizontal="center" vertical="top" wrapText="1"/>
    </xf>
    <xf numFmtId="0" fontId="3" fillId="0" borderId="4" xfId="4" applyNumberFormat="1" applyFont="1" applyFill="1" applyBorder="1" applyAlignment="1" applyProtection="1">
      <alignment horizontal="left" wrapText="1"/>
    </xf>
    <xf numFmtId="2" fontId="3" fillId="0" borderId="4" xfId="8" applyNumberFormat="1" applyFont="1" applyFill="1" applyBorder="1" applyAlignment="1" applyProtection="1">
      <alignment horizontal="center" wrapText="1"/>
    </xf>
    <xf numFmtId="0" fontId="8" fillId="4" borderId="5" xfId="4" applyNumberFormat="1" applyFont="1" applyFill="1" applyBorder="1" applyAlignment="1" applyProtection="1">
      <alignment horizontal="right"/>
    </xf>
    <xf numFmtId="0" fontId="8" fillId="0" borderId="5" xfId="5" applyFont="1" applyFill="1" applyBorder="1" applyAlignment="1" applyProtection="1">
      <alignment horizontal="left"/>
    </xf>
    <xf numFmtId="2" fontId="3" fillId="0" borderId="5" xfId="4" applyNumberFormat="1" applyFont="1" applyFill="1" applyBorder="1" applyAlignment="1" applyProtection="1">
      <alignment horizontal="center" vertical="top" wrapText="1"/>
    </xf>
    <xf numFmtId="0" fontId="8" fillId="0" borderId="5" xfId="4" applyFont="1" applyFill="1" applyBorder="1" applyAlignment="1" applyProtection="1">
      <alignment horizontal="center" vertical="top" wrapText="1"/>
    </xf>
    <xf numFmtId="0" fontId="3" fillId="4" borderId="5" xfId="4" applyFont="1" applyFill="1" applyBorder="1" applyAlignment="1" applyProtection="1">
      <alignment horizontal="center" vertical="top"/>
    </xf>
    <xf numFmtId="0" fontId="7" fillId="0" borderId="5" xfId="4" quotePrefix="1" applyFont="1" applyFill="1" applyBorder="1" applyAlignment="1" applyProtection="1">
      <alignment horizontal="left" wrapText="1"/>
    </xf>
    <xf numFmtId="0" fontId="3" fillId="0" borderId="5" xfId="4" applyFont="1" applyFill="1" applyBorder="1" applyAlignment="1" applyProtection="1"/>
    <xf numFmtId="0" fontId="3" fillId="0" borderId="5" xfId="2" applyFont="1" applyFill="1" applyBorder="1" applyAlignment="1" applyProtection="1">
      <alignment horizontal="left" wrapText="1"/>
    </xf>
    <xf numFmtId="0" fontId="2" fillId="4" borderId="5" xfId="0" applyNumberFormat="1" applyFont="1" applyFill="1" applyBorder="1" applyAlignment="1" applyProtection="1">
      <alignment horizontal="center" vertical="center"/>
    </xf>
    <xf numFmtId="0" fontId="3" fillId="4" borderId="5" xfId="0" applyNumberFormat="1" applyFont="1" applyFill="1" applyBorder="1" applyAlignment="1" applyProtection="1">
      <alignment horizontal="center" vertical="center"/>
    </xf>
    <xf numFmtId="0" fontId="3" fillId="4" borderId="5" xfId="12" applyNumberFormat="1" applyFont="1" applyFill="1" applyBorder="1" applyAlignment="1" applyProtection="1">
      <alignment horizontal="center" vertical="center" wrapText="1"/>
    </xf>
    <xf numFmtId="0" fontId="2" fillId="4" borderId="6" xfId="4" applyNumberFormat="1" applyFont="1" applyFill="1" applyBorder="1" applyAlignment="1" applyProtection="1">
      <alignment horizontal="center"/>
    </xf>
    <xf numFmtId="0" fontId="2" fillId="0" borderId="6" xfId="4" applyNumberFormat="1" applyFont="1" applyFill="1" applyBorder="1" applyAlignment="1" applyProtection="1">
      <alignment horizontal="left"/>
    </xf>
    <xf numFmtId="0" fontId="2" fillId="4" borderId="0" xfId="4" applyNumberFormat="1" applyFont="1" applyFill="1" applyBorder="1" applyAlignment="1" applyProtection="1">
      <alignment horizontal="center"/>
    </xf>
    <xf numFmtId="0" fontId="2" fillId="0" borderId="0" xfId="4" applyNumberFormat="1" applyFont="1" applyFill="1" applyBorder="1" applyAlignment="1" applyProtection="1">
      <alignment horizontal="left"/>
    </xf>
    <xf numFmtId="2" fontId="2" fillId="0" borderId="0" xfId="4" applyNumberFormat="1" applyFont="1" applyFill="1" applyBorder="1" applyAlignment="1" applyProtection="1">
      <alignment horizontal="center"/>
    </xf>
    <xf numFmtId="165" fontId="3" fillId="0" borderId="0" xfId="0" applyNumberFormat="1" applyFont="1" applyFill="1" applyBorder="1" applyAlignment="1" applyProtection="1">
      <alignment horizontal="left"/>
      <protection locked="0"/>
    </xf>
    <xf numFmtId="0" fontId="24" fillId="3" borderId="4" xfId="4" applyNumberFormat="1" applyFont="1" applyFill="1" applyBorder="1" applyAlignment="1" applyProtection="1">
      <alignment horizontal="center"/>
      <protection locked="0"/>
    </xf>
    <xf numFmtId="4" fontId="24" fillId="3" borderId="4" xfId="4" applyNumberFormat="1" applyFont="1" applyFill="1" applyBorder="1" applyAlignment="1" applyProtection="1">
      <alignment horizontal="center"/>
      <protection locked="0"/>
    </xf>
    <xf numFmtId="0" fontId="3" fillId="0" borderId="0" xfId="4" applyFont="1" applyFill="1" applyBorder="1" applyAlignment="1" applyProtection="1">
      <alignment horizontal="right" wrapText="1"/>
      <protection locked="0"/>
    </xf>
    <xf numFmtId="0" fontId="3" fillId="0" borderId="10" xfId="4" applyFont="1" applyFill="1" applyBorder="1" applyAlignment="1" applyProtection="1">
      <alignment horizontal="left" wrapText="1"/>
      <protection locked="0"/>
    </xf>
    <xf numFmtId="0" fontId="3" fillId="0" borderId="6" xfId="4" applyFont="1" applyFill="1" applyBorder="1" applyAlignment="1" applyProtection="1">
      <alignment horizontal="left"/>
      <protection locked="0"/>
    </xf>
    <xf numFmtId="0" fontId="3" fillId="0" borderId="4" xfId="4" applyFont="1" applyFill="1" applyBorder="1" applyAlignment="1" applyProtection="1">
      <alignment horizontal="left"/>
      <protection locked="0"/>
    </xf>
    <xf numFmtId="0" fontId="3" fillId="0" borderId="0" xfId="4" applyFont="1" applyFill="1" applyBorder="1" applyAlignment="1" applyProtection="1">
      <alignment horizontal="left" vertical="center"/>
      <protection locked="0"/>
    </xf>
    <xf numFmtId="4" fontId="3" fillId="4" borderId="5" xfId="4" applyNumberFormat="1" applyFont="1" applyFill="1" applyBorder="1" applyAlignment="1" applyProtection="1">
      <alignment horizontal="right" wrapText="1"/>
      <protection locked="0"/>
    </xf>
    <xf numFmtId="4" fontId="3" fillId="4" borderId="5" xfId="3" applyNumberFormat="1" applyFont="1" applyFill="1" applyBorder="1" applyAlignment="1" applyProtection="1">
      <alignment horizontal="right" wrapText="1"/>
      <protection locked="0"/>
    </xf>
    <xf numFmtId="0" fontId="3" fillId="4" borderId="5" xfId="3" applyFont="1" applyFill="1" applyBorder="1" applyAlignment="1" applyProtection="1">
      <alignment horizontal="left" wrapText="1"/>
      <protection locked="0"/>
    </xf>
    <xf numFmtId="0" fontId="3" fillId="0" borderId="6" xfId="3" applyFont="1" applyFill="1" applyBorder="1" applyAlignment="1" applyProtection="1">
      <alignment horizontal="center" wrapText="1"/>
      <protection locked="0"/>
    </xf>
    <xf numFmtId="0" fontId="3" fillId="0" borderId="0" xfId="4" applyFont="1" applyFill="1" applyBorder="1" applyAlignment="1" applyProtection="1">
      <alignment horizontal="left" wrapText="1"/>
    </xf>
    <xf numFmtId="0" fontId="3" fillId="0" borderId="0" xfId="4" applyFont="1" applyFill="1" applyBorder="1" applyAlignment="1" applyProtection="1">
      <alignment horizontal="left"/>
    </xf>
    <xf numFmtId="0" fontId="7" fillId="0" borderId="0" xfId="4" applyFont="1" applyFill="1" applyBorder="1" applyAlignment="1" applyProtection="1">
      <alignment horizontal="left" indent="1"/>
    </xf>
    <xf numFmtId="0" fontId="20" fillId="0" borderId="0" xfId="0" applyFont="1" applyFill="1" applyBorder="1" applyAlignment="1" applyProtection="1">
      <alignment horizontal="left" indent="18"/>
    </xf>
    <xf numFmtId="0" fontId="24" fillId="3" borderId="4" xfId="4" applyNumberFormat="1" applyFont="1" applyFill="1" applyBorder="1" applyAlignment="1" applyProtection="1">
      <alignment horizontal="center"/>
    </xf>
    <xf numFmtId="2" fontId="24" fillId="3" borderId="4" xfId="4" applyNumberFormat="1" applyFont="1" applyFill="1" applyBorder="1" applyAlignment="1" applyProtection="1">
      <alignment horizontal="center"/>
    </xf>
    <xf numFmtId="4" fontId="2" fillId="0" borderId="4" xfId="4" applyNumberFormat="1" applyFont="1" applyFill="1" applyBorder="1" applyAlignment="1" applyProtection="1">
      <alignment horizontal="center"/>
    </xf>
    <xf numFmtId="0" fontId="5" fillId="0" borderId="5" xfId="4" applyNumberFormat="1" applyFont="1" applyFill="1" applyBorder="1" applyAlignment="1" applyProtection="1">
      <alignment horizontal="left"/>
    </xf>
    <xf numFmtId="4" fontId="2" fillId="0" borderId="5" xfId="4" applyNumberFormat="1" applyFont="1" applyFill="1" applyBorder="1" applyAlignment="1" applyProtection="1">
      <alignment horizontal="center"/>
    </xf>
    <xf numFmtId="0" fontId="8" fillId="0" borderId="5" xfId="4" applyNumberFormat="1" applyFont="1" applyFill="1" applyBorder="1" applyAlignment="1" applyProtection="1">
      <alignment horizontal="left"/>
    </xf>
    <xf numFmtId="4" fontId="3" fillId="0" borderId="5" xfId="4" applyNumberFormat="1" applyFont="1" applyFill="1" applyBorder="1" applyAlignment="1" applyProtection="1">
      <alignment horizontal="center"/>
    </xf>
    <xf numFmtId="4" fontId="3" fillId="0" borderId="5" xfId="4" applyNumberFormat="1" applyFont="1" applyFill="1" applyBorder="1" applyAlignment="1" applyProtection="1">
      <alignment horizontal="center" wrapText="1"/>
    </xf>
    <xf numFmtId="0" fontId="2" fillId="0" borderId="5" xfId="4" applyFont="1" applyFill="1" applyBorder="1" applyAlignment="1" applyProtection="1">
      <alignment horizontal="left" wrapText="1"/>
    </xf>
    <xf numFmtId="4" fontId="3" fillId="0" borderId="0" xfId="4" applyNumberFormat="1" applyFont="1" applyFill="1" applyBorder="1" applyAlignment="1" applyProtection="1">
      <alignment horizontal="center"/>
    </xf>
    <xf numFmtId="4" fontId="3" fillId="0" borderId="7" xfId="4" applyNumberFormat="1" applyFont="1" applyFill="1" applyBorder="1" applyAlignment="1" applyProtection="1">
      <alignment horizontal="center"/>
    </xf>
    <xf numFmtId="4" fontId="3" fillId="0" borderId="9" xfId="4" applyNumberFormat="1" applyFont="1" applyFill="1" applyBorder="1" applyAlignment="1" applyProtection="1">
      <alignment horizontal="center"/>
    </xf>
    <xf numFmtId="0" fontId="11" fillId="0" borderId="5" xfId="8" applyNumberFormat="1" applyFont="1" applyFill="1" applyBorder="1" applyAlignment="1" applyProtection="1">
      <alignment horizontal="left" wrapText="1"/>
    </xf>
    <xf numFmtId="4" fontId="11" fillId="0" borderId="5" xfId="8" applyNumberFormat="1" applyFont="1" applyFill="1" applyBorder="1" applyAlignment="1" applyProtection="1">
      <alignment horizontal="center" wrapText="1"/>
    </xf>
    <xf numFmtId="0" fontId="6" fillId="0" borderId="5" xfId="4" quotePrefix="1" applyNumberFormat="1" applyFont="1" applyFill="1" applyBorder="1" applyAlignment="1" applyProtection="1">
      <alignment horizontal="left" wrapText="1"/>
    </xf>
    <xf numFmtId="0" fontId="11" fillId="0" borderId="5" xfId="4" applyNumberFormat="1" applyFont="1" applyFill="1" applyBorder="1" applyAlignment="1" applyProtection="1">
      <alignment horizontal="left"/>
    </xf>
    <xf numFmtId="4" fontId="11" fillId="0" borderId="5" xfId="4" applyNumberFormat="1" applyFont="1" applyFill="1" applyBorder="1" applyAlignment="1" applyProtection="1">
      <alignment horizontal="center"/>
    </xf>
    <xf numFmtId="4" fontId="3" fillId="0" borderId="5" xfId="0" applyNumberFormat="1" applyFont="1" applyFill="1" applyBorder="1" applyAlignment="1" applyProtection="1">
      <alignment horizontal="center" wrapText="1"/>
    </xf>
    <xf numFmtId="4" fontId="3" fillId="0" borderId="6" xfId="0" applyNumberFormat="1" applyFont="1" applyFill="1" applyBorder="1" applyAlignment="1" applyProtection="1">
      <alignment horizontal="center" wrapText="1"/>
    </xf>
    <xf numFmtId="4" fontId="3" fillId="0" borderId="4" xfId="0" applyNumberFormat="1" applyFont="1" applyFill="1" applyBorder="1" applyAlignment="1" applyProtection="1">
      <alignment horizontal="center" wrapText="1"/>
    </xf>
    <xf numFmtId="4" fontId="3" fillId="0" borderId="5" xfId="4" applyNumberFormat="1" applyFont="1" applyFill="1" applyBorder="1" applyAlignment="1" applyProtection="1">
      <alignment horizontal="center" vertical="center" wrapText="1"/>
    </xf>
    <xf numFmtId="0" fontId="2" fillId="4" borderId="5" xfId="4" applyFont="1" applyFill="1" applyBorder="1" applyAlignment="1" applyProtection="1">
      <alignment horizontal="center" vertical="top" wrapText="1"/>
    </xf>
    <xf numFmtId="0" fontId="6" fillId="4" borderId="5" xfId="11" applyNumberFormat="1" applyFont="1" applyFill="1" applyBorder="1" applyAlignment="1" applyProtection="1">
      <alignment horizontal="left" wrapText="1"/>
    </xf>
    <xf numFmtId="4" fontId="3" fillId="4" borderId="5" xfId="4" applyNumberFormat="1" applyFont="1" applyFill="1" applyBorder="1" applyAlignment="1" applyProtection="1">
      <alignment horizontal="center" wrapText="1"/>
    </xf>
    <xf numFmtId="0" fontId="3" fillId="4" borderId="5" xfId="7" applyFont="1" applyFill="1" applyBorder="1" applyAlignment="1" applyProtection="1">
      <alignment horizontal="center" vertical="top" wrapText="1"/>
    </xf>
    <xf numFmtId="4" fontId="3" fillId="4" borderId="5" xfId="7" applyNumberFormat="1" applyFont="1" applyFill="1" applyBorder="1" applyAlignment="1" applyProtection="1">
      <alignment horizontal="center" wrapText="1"/>
    </xf>
    <xf numFmtId="166" fontId="3" fillId="4" borderId="5" xfId="7" applyNumberFormat="1" applyFont="1" applyFill="1" applyBorder="1" applyAlignment="1" applyProtection="1">
      <alignment horizontal="center" wrapText="1"/>
    </xf>
    <xf numFmtId="4" fontId="3" fillId="4" borderId="5" xfId="12" applyNumberFormat="1" applyFont="1" applyFill="1" applyBorder="1" applyAlignment="1" applyProtection="1">
      <alignment horizontal="center" wrapText="1"/>
    </xf>
    <xf numFmtId="4" fontId="3" fillId="4" borderId="5" xfId="3" applyNumberFormat="1" applyFont="1" applyFill="1" applyBorder="1" applyAlignment="1" applyProtection="1">
      <alignment horizontal="center"/>
    </xf>
    <xf numFmtId="4" fontId="3" fillId="0" borderId="5" xfId="5" applyNumberFormat="1" applyFont="1" applyFill="1" applyBorder="1" applyAlignment="1" applyProtection="1">
      <alignment horizontal="center"/>
    </xf>
    <xf numFmtId="0" fontId="2" fillId="0" borderId="6" xfId="4" applyNumberFormat="1" applyFont="1" applyFill="1" applyBorder="1" applyAlignment="1" applyProtection="1">
      <alignment horizontal="center"/>
    </xf>
    <xf numFmtId="4" fontId="3" fillId="0" borderId="6" xfId="5" applyNumberFormat="1" applyFont="1" applyFill="1" applyBorder="1" applyAlignment="1" applyProtection="1">
      <alignment horizontal="center"/>
    </xf>
    <xf numFmtId="0" fontId="3" fillId="4" borderId="0" xfId="0" applyFont="1" applyFill="1" applyBorder="1" applyAlignment="1" applyProtection="1">
      <alignment horizontal="justify" wrapText="1"/>
    </xf>
    <xf numFmtId="4" fontId="3" fillId="2" borderId="0" xfId="4" applyNumberFormat="1" applyFont="1" applyFill="1" applyBorder="1" applyAlignment="1" applyProtection="1">
      <alignment horizontal="center" wrapText="1"/>
    </xf>
    <xf numFmtId="4" fontId="3" fillId="0" borderId="0" xfId="4" applyNumberFormat="1" applyFont="1" applyFill="1" applyBorder="1" applyAlignment="1" applyProtection="1">
      <alignment horizontal="right" wrapText="1"/>
    </xf>
    <xf numFmtId="4" fontId="3" fillId="0" borderId="0" xfId="4" applyNumberFormat="1" applyFont="1" applyFill="1" applyBorder="1" applyAlignment="1" applyProtection="1">
      <alignment horizontal="center" wrapText="1"/>
    </xf>
    <xf numFmtId="4" fontId="2" fillId="0" borderId="0" xfId="4" applyNumberFormat="1" applyFont="1" applyFill="1" applyBorder="1" applyAlignment="1" applyProtection="1">
      <alignment horizontal="center"/>
    </xf>
  </cellXfs>
  <cellStyles count="14">
    <cellStyle name="Comma" xfId="1" builtinId="3"/>
    <cellStyle name="Comma 2" xfId="9"/>
    <cellStyle name="Comma 3" xfId="10"/>
    <cellStyle name="Comma 3 2" xfId="13"/>
    <cellStyle name="Normal" xfId="0" builtinId="0"/>
    <cellStyle name="Normal 2" xfId="6"/>
    <cellStyle name="Normal_eydha accom" xfId="2"/>
    <cellStyle name="Normal_Sheet1 (3)" xfId="3"/>
    <cellStyle name="Normal_Sheet1 (3) 2" xfId="8"/>
    <cellStyle name="Normal_Sheet2 (2)" xfId="4"/>
    <cellStyle name="Normal_Sheet2 (2) 2" xfId="7"/>
    <cellStyle name="Normal_Sheet2 (2) 3" xfId="11"/>
    <cellStyle name="Normal_Sheet2 (2) 4" xfId="12"/>
    <cellStyle name="Normal_Sheet2 (3)" xf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FFFF99"/>
  </sheetPr>
  <dimension ref="A1:R174"/>
  <sheetViews>
    <sheetView tabSelected="1" view="pageBreakPreview" topLeftCell="A16" zoomScaleNormal="70" zoomScaleSheetLayoutView="100" zoomScalePageLayoutView="85" workbookViewId="0">
      <selection activeCell="A170" sqref="A170"/>
    </sheetView>
  </sheetViews>
  <sheetFormatPr defaultRowHeight="12"/>
  <cols>
    <col min="1" max="1" width="5.140625" style="20" customWidth="1"/>
    <col min="2" max="2" width="48.28515625" style="8" customWidth="1"/>
    <col min="3" max="3" width="5.7109375" style="20" bestFit="1" customWidth="1"/>
    <col min="4" max="4" width="4.5703125" style="20" bestFit="1" customWidth="1"/>
    <col min="5" max="5" width="8.140625" style="21" bestFit="1" customWidth="1"/>
    <col min="6" max="6" width="7.140625" style="22" bestFit="1" customWidth="1"/>
    <col min="7" max="7" width="8.140625" style="8" customWidth="1"/>
    <col min="8" max="256" width="5.5703125" style="8" customWidth="1"/>
    <col min="257" max="16384" width="9.140625" style="8"/>
  </cols>
  <sheetData>
    <row r="1" spans="1:7">
      <c r="A1" s="47"/>
      <c r="B1" s="48"/>
      <c r="C1" s="47"/>
      <c r="D1" s="47"/>
      <c r="E1" s="71"/>
      <c r="F1" s="72"/>
      <c r="G1" s="48"/>
    </row>
    <row r="2" spans="1:7">
      <c r="A2" s="47"/>
      <c r="B2" s="48"/>
      <c r="C2" s="47"/>
      <c r="D2" s="47"/>
      <c r="E2" s="71"/>
      <c r="F2" s="72"/>
      <c r="G2" s="48"/>
    </row>
    <row r="3" spans="1:7">
      <c r="A3" s="47"/>
      <c r="B3" s="48"/>
      <c r="C3" s="47"/>
      <c r="D3" s="47"/>
      <c r="E3" s="71"/>
      <c r="F3" s="72"/>
      <c r="G3" s="48"/>
    </row>
    <row r="4" spans="1:7">
      <c r="A4" s="47"/>
      <c r="B4" s="48"/>
      <c r="C4" s="47"/>
      <c r="D4" s="47"/>
      <c r="E4" s="71"/>
      <c r="F4" s="72"/>
      <c r="G4" s="48"/>
    </row>
    <row r="5" spans="1:7">
      <c r="A5" s="47"/>
      <c r="B5" s="48"/>
      <c r="C5" s="47"/>
      <c r="D5" s="47"/>
      <c r="E5" s="71"/>
      <c r="F5" s="72"/>
      <c r="G5" s="48"/>
    </row>
    <row r="6" spans="1:7">
      <c r="A6" s="47"/>
      <c r="B6" s="48"/>
      <c r="C6" s="47"/>
      <c r="D6" s="47"/>
      <c r="E6" s="71"/>
      <c r="F6" s="72"/>
      <c r="G6" s="48"/>
    </row>
    <row r="7" spans="1:7">
      <c r="A7" s="47"/>
      <c r="B7" s="48"/>
      <c r="C7" s="47"/>
      <c r="D7" s="47"/>
      <c r="E7" s="71"/>
      <c r="F7" s="72"/>
      <c r="G7" s="48"/>
    </row>
    <row r="8" spans="1:7">
      <c r="A8" s="47"/>
      <c r="B8" s="48"/>
      <c r="C8" s="47"/>
      <c r="D8" s="47"/>
      <c r="E8" s="71"/>
      <c r="F8" s="72"/>
      <c r="G8" s="48"/>
    </row>
    <row r="9" spans="1:7">
      <c r="A9" s="47"/>
      <c r="B9" s="48"/>
      <c r="C9" s="47"/>
      <c r="D9" s="47"/>
      <c r="E9" s="71"/>
      <c r="F9" s="72"/>
      <c r="G9" s="48"/>
    </row>
    <row r="10" spans="1:7">
      <c r="A10" s="47"/>
      <c r="B10" s="48"/>
      <c r="C10" s="47"/>
      <c r="D10" s="47"/>
      <c r="E10" s="71"/>
      <c r="F10" s="72"/>
      <c r="G10" s="48"/>
    </row>
    <row r="11" spans="1:7">
      <c r="A11" s="47"/>
      <c r="B11" s="48"/>
      <c r="C11" s="47"/>
      <c r="D11" s="47"/>
      <c r="E11" s="71"/>
      <c r="F11" s="72"/>
      <c r="G11" s="48"/>
    </row>
    <row r="12" spans="1:7">
      <c r="A12" s="47"/>
      <c r="B12" s="48"/>
      <c r="C12" s="47"/>
      <c r="D12" s="47"/>
      <c r="E12" s="71"/>
      <c r="F12" s="72"/>
      <c r="G12" s="48"/>
    </row>
    <row r="13" spans="1:7">
      <c r="A13" s="47"/>
      <c r="B13" s="48"/>
      <c r="C13" s="47"/>
      <c r="D13" s="47"/>
      <c r="E13" s="71"/>
      <c r="F13" s="72"/>
      <c r="G13" s="48"/>
    </row>
    <row r="14" spans="1:7">
      <c r="A14" s="47"/>
      <c r="B14" s="48"/>
      <c r="C14" s="47"/>
      <c r="D14" s="47"/>
      <c r="E14" s="71"/>
      <c r="F14" s="72"/>
      <c r="G14" s="48"/>
    </row>
    <row r="15" spans="1:7">
      <c r="A15" s="47"/>
      <c r="B15" s="48"/>
      <c r="C15" s="47"/>
      <c r="D15" s="47"/>
      <c r="E15" s="71"/>
      <c r="F15" s="72"/>
      <c r="G15" s="48"/>
    </row>
    <row r="16" spans="1:7">
      <c r="A16" s="47"/>
      <c r="B16" s="48"/>
      <c r="C16" s="47"/>
      <c r="D16" s="47"/>
      <c r="E16" s="71"/>
      <c r="F16" s="72"/>
      <c r="G16" s="48"/>
    </row>
    <row r="17" spans="1:7">
      <c r="A17" s="47"/>
      <c r="B17" s="48"/>
      <c r="C17" s="47"/>
      <c r="D17" s="47"/>
      <c r="E17" s="71"/>
      <c r="F17" s="72"/>
      <c r="G17" s="48"/>
    </row>
    <row r="18" spans="1:7">
      <c r="A18" s="47"/>
      <c r="B18" s="48"/>
      <c r="C18" s="47"/>
      <c r="D18" s="47"/>
      <c r="E18" s="71"/>
      <c r="F18" s="72"/>
      <c r="G18" s="48"/>
    </row>
    <row r="19" spans="1:7">
      <c r="A19" s="47"/>
      <c r="B19" s="48"/>
      <c r="C19" s="47"/>
      <c r="D19" s="47"/>
      <c r="E19" s="71"/>
      <c r="F19" s="72"/>
      <c r="G19" s="48"/>
    </row>
    <row r="20" spans="1:7">
      <c r="A20" s="47"/>
      <c r="B20" s="48"/>
      <c r="C20" s="47"/>
      <c r="D20" s="47"/>
      <c r="E20" s="71"/>
      <c r="F20" s="72"/>
      <c r="G20" s="48"/>
    </row>
    <row r="21" spans="1:7">
      <c r="A21" s="47"/>
      <c r="B21" s="48"/>
      <c r="C21" s="47"/>
      <c r="D21" s="47"/>
      <c r="E21" s="71"/>
      <c r="F21" s="72"/>
      <c r="G21" s="48"/>
    </row>
    <row r="22" spans="1:7">
      <c r="A22" s="47"/>
      <c r="B22" s="48"/>
      <c r="C22" s="47"/>
      <c r="D22" s="47"/>
      <c r="E22" s="71"/>
      <c r="F22" s="72"/>
      <c r="G22" s="48"/>
    </row>
    <row r="23" spans="1:7">
      <c r="A23" s="47"/>
      <c r="B23" s="48"/>
      <c r="C23" s="47"/>
      <c r="D23" s="47"/>
      <c r="E23" s="71"/>
      <c r="F23" s="72"/>
      <c r="G23" s="48"/>
    </row>
    <row r="24" spans="1:7">
      <c r="A24" s="47"/>
      <c r="B24" s="48"/>
      <c r="C24" s="47"/>
      <c r="D24" s="47"/>
      <c r="E24" s="71"/>
      <c r="F24" s="72"/>
      <c r="G24" s="48"/>
    </row>
    <row r="25" spans="1:7">
      <c r="A25" s="47"/>
      <c r="B25" s="48"/>
      <c r="C25" s="47"/>
      <c r="D25" s="47"/>
      <c r="E25" s="71"/>
      <c r="F25" s="72"/>
      <c r="G25" s="48"/>
    </row>
    <row r="26" spans="1:7">
      <c r="A26" s="47"/>
      <c r="B26" s="48"/>
      <c r="C26" s="47"/>
      <c r="D26" s="47"/>
      <c r="E26" s="71"/>
      <c r="F26" s="72"/>
      <c r="G26" s="48"/>
    </row>
    <row r="27" spans="1:7">
      <c r="A27" s="47"/>
      <c r="B27" s="48"/>
      <c r="C27" s="47"/>
      <c r="D27" s="47"/>
      <c r="E27" s="71"/>
      <c r="F27" s="72"/>
      <c r="G27" s="48"/>
    </row>
    <row r="28" spans="1:7">
      <c r="A28" s="47"/>
      <c r="B28" s="48"/>
      <c r="C28" s="47"/>
      <c r="D28" s="47"/>
      <c r="E28" s="71"/>
      <c r="F28" s="72"/>
      <c r="G28" s="48"/>
    </row>
    <row r="29" spans="1:7">
      <c r="A29" s="47"/>
      <c r="B29" s="48"/>
      <c r="C29" s="47"/>
      <c r="D29" s="47"/>
      <c r="E29" s="71"/>
      <c r="F29" s="72"/>
      <c r="G29" s="48"/>
    </row>
    <row r="30" spans="1:7" ht="33.75">
      <c r="A30" s="74" t="s">
        <v>588</v>
      </c>
      <c r="B30" s="74"/>
      <c r="C30" s="74"/>
      <c r="D30" s="74"/>
      <c r="E30" s="74"/>
      <c r="F30" s="74"/>
      <c r="G30" s="74"/>
    </row>
    <row r="31" spans="1:7" ht="15">
      <c r="A31" s="75" t="s">
        <v>596</v>
      </c>
      <c r="B31" s="75"/>
      <c r="C31" s="75"/>
      <c r="D31" s="75"/>
      <c r="E31" s="75"/>
      <c r="F31" s="75"/>
      <c r="G31" s="75"/>
    </row>
    <row r="32" spans="1:7" ht="15">
      <c r="A32" s="76" t="s">
        <v>601</v>
      </c>
      <c r="B32" s="76"/>
      <c r="C32" s="76"/>
      <c r="D32" s="76"/>
      <c r="E32" s="76"/>
      <c r="F32" s="76"/>
      <c r="G32" s="76"/>
    </row>
    <row r="33" spans="1:7">
      <c r="A33" s="47"/>
      <c r="B33" s="48"/>
      <c r="C33" s="47"/>
      <c r="D33" s="47"/>
      <c r="E33" s="71"/>
      <c r="F33" s="72"/>
      <c r="G33" s="48"/>
    </row>
    <row r="34" spans="1:7">
      <c r="A34" s="47"/>
      <c r="B34" s="48"/>
      <c r="C34" s="47"/>
      <c r="D34" s="47"/>
      <c r="E34" s="71"/>
      <c r="F34" s="72"/>
      <c r="G34" s="48"/>
    </row>
    <row r="35" spans="1:7">
      <c r="A35" s="47"/>
      <c r="B35" s="48"/>
      <c r="C35" s="47"/>
      <c r="D35" s="47"/>
      <c r="E35" s="71"/>
      <c r="F35" s="72"/>
      <c r="G35" s="48"/>
    </row>
    <row r="36" spans="1:7">
      <c r="A36" s="47"/>
      <c r="B36" s="48"/>
      <c r="C36" s="47"/>
      <c r="D36" s="47"/>
      <c r="E36" s="71"/>
      <c r="F36" s="72"/>
      <c r="G36" s="48"/>
    </row>
    <row r="37" spans="1:7">
      <c r="A37" s="47"/>
      <c r="B37" s="48"/>
      <c r="C37" s="47"/>
      <c r="D37" s="47"/>
      <c r="E37" s="71"/>
      <c r="F37" s="72"/>
      <c r="G37" s="48"/>
    </row>
    <row r="38" spans="1:7">
      <c r="A38" s="47"/>
      <c r="B38" s="48"/>
      <c r="C38" s="47"/>
      <c r="D38" s="47"/>
      <c r="E38" s="71"/>
      <c r="F38" s="72"/>
      <c r="G38" s="48"/>
    </row>
    <row r="39" spans="1:7">
      <c r="A39" s="47"/>
      <c r="B39" s="48"/>
      <c r="C39" s="47"/>
      <c r="D39" s="47"/>
      <c r="E39" s="71"/>
      <c r="F39" s="72"/>
      <c r="G39" s="48"/>
    </row>
    <row r="40" spans="1:7">
      <c r="A40" s="47"/>
      <c r="B40" s="48"/>
      <c r="C40" s="47"/>
      <c r="D40" s="47"/>
      <c r="E40" s="71"/>
      <c r="F40" s="72"/>
      <c r="G40" s="48"/>
    </row>
    <row r="41" spans="1:7">
      <c r="A41" s="47"/>
      <c r="B41" s="48"/>
      <c r="C41" s="47"/>
      <c r="D41" s="47"/>
      <c r="E41" s="71"/>
      <c r="F41" s="72"/>
      <c r="G41" s="48"/>
    </row>
    <row r="42" spans="1:7">
      <c r="A42" s="47"/>
      <c r="B42" s="48"/>
      <c r="C42" s="47"/>
      <c r="D42" s="47"/>
      <c r="E42" s="71"/>
      <c r="F42" s="72"/>
      <c r="G42" s="48"/>
    </row>
    <row r="43" spans="1:7">
      <c r="A43" s="47"/>
      <c r="B43" s="48"/>
      <c r="C43" s="47"/>
      <c r="D43" s="47"/>
      <c r="E43" s="71"/>
      <c r="F43" s="72"/>
      <c r="G43" s="48"/>
    </row>
    <row r="44" spans="1:7">
      <c r="A44" s="47"/>
      <c r="B44" s="48"/>
      <c r="C44" s="47"/>
      <c r="D44" s="47"/>
      <c r="E44" s="71"/>
      <c r="F44" s="72"/>
      <c r="G44" s="48"/>
    </row>
    <row r="45" spans="1:7">
      <c r="A45" s="47"/>
      <c r="B45" s="48"/>
      <c r="C45" s="47"/>
      <c r="D45" s="47"/>
      <c r="E45" s="71"/>
      <c r="F45" s="72"/>
      <c r="G45" s="48"/>
    </row>
    <row r="46" spans="1:7">
      <c r="A46" s="47"/>
      <c r="B46" s="48"/>
      <c r="C46" s="47"/>
      <c r="D46" s="47"/>
      <c r="E46" s="71"/>
      <c r="F46" s="72"/>
      <c r="G46" s="48"/>
    </row>
    <row r="47" spans="1:7">
      <c r="A47" s="47"/>
      <c r="B47" s="48"/>
      <c r="C47" s="47"/>
      <c r="D47" s="47"/>
      <c r="E47" s="71"/>
      <c r="F47" s="72"/>
      <c r="G47" s="48"/>
    </row>
    <row r="48" spans="1:7">
      <c r="A48" s="47"/>
      <c r="B48" s="48"/>
      <c r="C48" s="47"/>
      <c r="D48" s="47"/>
      <c r="E48" s="71"/>
      <c r="F48" s="72"/>
      <c r="G48" s="48"/>
    </row>
    <row r="49" spans="1:11">
      <c r="A49" s="47"/>
      <c r="B49" s="48"/>
      <c r="C49" s="47"/>
      <c r="D49" s="47"/>
      <c r="E49" s="71"/>
      <c r="F49" s="72"/>
      <c r="G49" s="48"/>
    </row>
    <row r="50" spans="1:11">
      <c r="A50" s="47"/>
      <c r="B50" s="48"/>
      <c r="C50" s="47"/>
      <c r="D50" s="47"/>
      <c r="E50" s="71"/>
      <c r="F50" s="72"/>
      <c r="G50" s="48"/>
    </row>
    <row r="51" spans="1:11">
      <c r="A51" s="47"/>
      <c r="B51" s="48"/>
      <c r="C51" s="47"/>
      <c r="D51" s="47"/>
      <c r="E51" s="71"/>
      <c r="F51" s="72"/>
      <c r="G51" s="48"/>
    </row>
    <row r="52" spans="1:11">
      <c r="A52" s="47"/>
      <c r="B52" s="48"/>
      <c r="C52" s="47"/>
      <c r="D52" s="47"/>
      <c r="E52" s="71"/>
      <c r="F52" s="72"/>
      <c r="G52" s="48"/>
    </row>
    <row r="53" spans="1:11">
      <c r="A53" s="47"/>
      <c r="B53" s="48"/>
      <c r="C53" s="47"/>
      <c r="D53" s="47"/>
      <c r="E53" s="71"/>
      <c r="F53" s="72"/>
      <c r="G53" s="48"/>
    </row>
    <row r="54" spans="1:11">
      <c r="A54" s="47"/>
      <c r="B54" s="48"/>
      <c r="C54" s="47"/>
      <c r="D54" s="47"/>
      <c r="E54" s="71"/>
      <c r="F54" s="72"/>
      <c r="G54" s="48"/>
    </row>
    <row r="55" spans="1:11">
      <c r="A55" s="47"/>
      <c r="B55" s="48"/>
      <c r="C55" s="47"/>
      <c r="D55" s="47"/>
      <c r="E55" s="71"/>
      <c r="F55" s="72"/>
      <c r="G55" s="48"/>
    </row>
    <row r="56" spans="1:11">
      <c r="A56" s="47"/>
      <c r="B56" s="48"/>
      <c r="C56" s="47"/>
      <c r="D56" s="47"/>
      <c r="E56" s="71"/>
      <c r="F56" s="72"/>
      <c r="G56" s="48"/>
    </row>
    <row r="57" spans="1:11">
      <c r="A57" s="47"/>
      <c r="B57" s="48"/>
      <c r="C57" s="47"/>
      <c r="D57" s="47"/>
      <c r="E57" s="71"/>
      <c r="F57" s="72"/>
      <c r="G57" s="48"/>
    </row>
    <row r="58" spans="1:11">
      <c r="A58" s="47"/>
      <c r="B58" s="48"/>
      <c r="C58" s="47"/>
      <c r="D58" s="47"/>
      <c r="E58" s="71"/>
      <c r="F58" s="72"/>
      <c r="G58" s="48"/>
    </row>
    <row r="59" spans="1:11">
      <c r="A59" s="47"/>
      <c r="B59" s="48"/>
      <c r="C59" s="47"/>
      <c r="D59" s="47"/>
      <c r="E59" s="71"/>
      <c r="F59" s="72"/>
      <c r="G59" s="48"/>
    </row>
    <row r="60" spans="1:11">
      <c r="A60" s="47"/>
      <c r="B60" s="48"/>
      <c r="C60" s="47"/>
      <c r="D60" s="47"/>
      <c r="E60" s="71"/>
      <c r="F60" s="72"/>
      <c r="G60" s="48"/>
    </row>
    <row r="61" spans="1:11" s="9" customFormat="1" ht="18.75">
      <c r="A61" s="35" t="s">
        <v>116</v>
      </c>
      <c r="B61" s="36"/>
      <c r="C61" s="37"/>
      <c r="D61" s="37"/>
      <c r="E61" s="37"/>
      <c r="F61" s="66"/>
      <c r="G61" s="37"/>
      <c r="H61" s="10"/>
      <c r="I61" s="11"/>
      <c r="K61" s="12"/>
    </row>
    <row r="62" spans="1:11" s="9" customFormat="1">
      <c r="A62" s="36" t="s">
        <v>81</v>
      </c>
      <c r="B62" s="38"/>
      <c r="C62" s="37"/>
      <c r="D62" s="37"/>
      <c r="E62" s="37"/>
      <c r="F62" s="36"/>
      <c r="G62" s="37"/>
      <c r="H62" s="10"/>
      <c r="I62" s="11"/>
      <c r="K62" s="12"/>
    </row>
    <row r="63" spans="1:11" s="9" customFormat="1">
      <c r="A63" s="36" t="s">
        <v>82</v>
      </c>
      <c r="B63" s="38"/>
      <c r="C63" s="37"/>
      <c r="D63" s="37"/>
      <c r="E63" s="37"/>
      <c r="F63" s="36"/>
      <c r="G63" s="37"/>
      <c r="H63" s="10"/>
      <c r="I63" s="11"/>
      <c r="K63" s="12"/>
    </row>
    <row r="64" spans="1:11" s="9" customFormat="1">
      <c r="A64" s="36"/>
      <c r="B64" s="38"/>
      <c r="C64" s="37"/>
      <c r="D64" s="37"/>
      <c r="E64" s="37"/>
      <c r="F64" s="36"/>
      <c r="G64" s="37"/>
      <c r="H64" s="10"/>
      <c r="I64" s="11"/>
      <c r="K64" s="12"/>
    </row>
    <row r="65" spans="1:17" s="9" customFormat="1" ht="14.25">
      <c r="A65" s="39" t="s">
        <v>556</v>
      </c>
      <c r="B65" s="38"/>
      <c r="C65" s="37"/>
      <c r="D65" s="37"/>
      <c r="E65" s="37"/>
      <c r="F65" s="36"/>
      <c r="G65" s="37"/>
      <c r="H65" s="10"/>
      <c r="I65" s="11"/>
      <c r="K65" s="12"/>
    </row>
    <row r="66" spans="1:17" s="9" customFormat="1">
      <c r="A66" s="36"/>
      <c r="B66" s="38"/>
      <c r="C66" s="37"/>
      <c r="D66" s="37"/>
      <c r="E66" s="37"/>
      <c r="F66" s="36"/>
      <c r="G66" s="37"/>
      <c r="H66" s="10"/>
      <c r="I66" s="11"/>
      <c r="K66" s="12"/>
    </row>
    <row r="67" spans="1:17" s="9" customFormat="1">
      <c r="A67" s="40" t="s">
        <v>595</v>
      </c>
      <c r="B67" s="38"/>
      <c r="C67" s="41"/>
      <c r="D67" s="37"/>
      <c r="E67" s="67"/>
      <c r="F67" s="36"/>
      <c r="G67" s="37"/>
      <c r="H67" s="10"/>
      <c r="I67" s="11"/>
      <c r="K67" s="12"/>
    </row>
    <row r="68" spans="1:17" s="9" customFormat="1">
      <c r="A68" s="42" t="s">
        <v>144</v>
      </c>
      <c r="B68" s="38"/>
      <c r="C68" s="37"/>
      <c r="D68" s="68"/>
      <c r="E68" s="68"/>
      <c r="F68" s="36"/>
      <c r="G68" s="37"/>
      <c r="H68" s="10"/>
      <c r="I68" s="11"/>
      <c r="K68" s="12"/>
    </row>
    <row r="69" spans="1:17" s="9" customFormat="1">
      <c r="A69" s="43" t="s">
        <v>597</v>
      </c>
      <c r="B69" s="38"/>
      <c r="C69" s="37"/>
      <c r="D69" s="37"/>
      <c r="E69" s="37"/>
      <c r="F69" s="36" t="s">
        <v>1</v>
      </c>
      <c r="G69" s="37" t="s">
        <v>1</v>
      </c>
      <c r="H69" s="10"/>
      <c r="I69" s="11"/>
      <c r="K69" s="12"/>
    </row>
    <row r="70" spans="1:17" s="14" customFormat="1">
      <c r="A70" s="44"/>
      <c r="B70" s="45"/>
      <c r="C70" s="46"/>
      <c r="D70" s="69"/>
      <c r="E70" s="46"/>
      <c r="F70" s="70"/>
      <c r="G70" s="69"/>
      <c r="H70" s="15"/>
      <c r="I70" s="16"/>
      <c r="J70" s="17"/>
      <c r="K70" s="18"/>
      <c r="L70" s="17"/>
      <c r="M70" s="17"/>
      <c r="N70" s="17"/>
      <c r="O70" s="17"/>
      <c r="P70" s="19"/>
      <c r="Q70" s="19"/>
    </row>
    <row r="71" spans="1:17">
      <c r="A71" s="47"/>
      <c r="B71" s="48"/>
      <c r="C71" s="47"/>
      <c r="D71" s="47"/>
      <c r="E71" s="71"/>
      <c r="F71" s="72"/>
      <c r="G71" s="48"/>
    </row>
    <row r="72" spans="1:17">
      <c r="A72" s="49"/>
      <c r="B72" s="48"/>
      <c r="C72" s="47"/>
      <c r="D72" s="47"/>
      <c r="E72" s="71"/>
      <c r="F72" s="72"/>
      <c r="G72" s="48"/>
    </row>
    <row r="73" spans="1:17">
      <c r="A73" s="49"/>
      <c r="B73" s="48"/>
      <c r="C73" s="47"/>
      <c r="D73" s="47"/>
      <c r="E73" s="71"/>
      <c r="F73" s="72"/>
      <c r="G73" s="48"/>
    </row>
    <row r="74" spans="1:17">
      <c r="A74" s="49"/>
      <c r="B74" s="48"/>
      <c r="C74" s="47"/>
      <c r="D74" s="47"/>
      <c r="E74" s="71"/>
      <c r="F74" s="72"/>
      <c r="G74" s="48"/>
    </row>
    <row r="75" spans="1:17" ht="18.75">
      <c r="A75" s="50" t="s">
        <v>145</v>
      </c>
      <c r="B75" s="50"/>
      <c r="C75" s="50"/>
      <c r="D75" s="73"/>
      <c r="E75" s="73"/>
      <c r="F75" s="73"/>
      <c r="G75" s="73"/>
    </row>
    <row r="76" spans="1:17">
      <c r="A76" s="51"/>
      <c r="B76" s="51"/>
      <c r="C76" s="51"/>
      <c r="D76" s="51"/>
      <c r="E76" s="51"/>
      <c r="F76" s="51"/>
      <c r="G76" s="51"/>
    </row>
    <row r="77" spans="1:17">
      <c r="A77" s="51"/>
      <c r="B77" s="51"/>
      <c r="C77" s="51"/>
      <c r="D77" s="51"/>
      <c r="E77" s="51"/>
      <c r="F77" s="51"/>
      <c r="G77" s="51"/>
    </row>
    <row r="78" spans="1:17">
      <c r="A78" s="51"/>
      <c r="B78" s="51"/>
      <c r="C78" s="51"/>
      <c r="D78" s="51"/>
      <c r="E78" s="51"/>
      <c r="F78" s="51"/>
      <c r="G78" s="51"/>
    </row>
    <row r="79" spans="1:17">
      <c r="A79" s="51"/>
      <c r="B79" s="51"/>
      <c r="C79" s="51"/>
      <c r="D79" s="51"/>
      <c r="E79" s="51"/>
      <c r="F79" s="51"/>
      <c r="G79" s="51"/>
    </row>
    <row r="80" spans="1:17">
      <c r="A80" s="51"/>
      <c r="B80" s="51"/>
      <c r="C80" s="51"/>
      <c r="D80" s="51"/>
      <c r="E80" s="51"/>
      <c r="F80" s="51"/>
      <c r="G80" s="51"/>
    </row>
    <row r="81" spans="1:7">
      <c r="A81" s="52"/>
      <c r="B81" s="53"/>
      <c r="C81" s="52"/>
      <c r="D81" s="63"/>
      <c r="E81" s="64"/>
      <c r="F81" s="64"/>
      <c r="G81" s="45"/>
    </row>
    <row r="82" spans="1:7" s="25" customFormat="1" ht="15">
      <c r="A82" s="54"/>
      <c r="B82" s="55" t="s">
        <v>589</v>
      </c>
      <c r="C82" s="56" t="s">
        <v>143</v>
      </c>
      <c r="D82" s="26"/>
      <c r="E82" s="26"/>
      <c r="F82" s="26"/>
      <c r="G82" s="27"/>
    </row>
    <row r="83" spans="1:7" s="25" customFormat="1" ht="9.75" customHeight="1">
      <c r="A83" s="54"/>
      <c r="B83" s="57"/>
      <c r="C83" s="57"/>
      <c r="D83" s="28"/>
      <c r="E83" s="28"/>
      <c r="F83" s="28"/>
      <c r="G83" s="28"/>
    </row>
    <row r="84" spans="1:7" s="25" customFormat="1" ht="15">
      <c r="A84" s="54"/>
      <c r="B84" s="55" t="s">
        <v>590</v>
      </c>
      <c r="C84" s="56" t="s">
        <v>143</v>
      </c>
      <c r="D84" s="26"/>
      <c r="E84" s="26"/>
      <c r="F84" s="26"/>
      <c r="G84" s="27"/>
    </row>
    <row r="85" spans="1:7" s="25" customFormat="1" ht="9.75" customHeight="1">
      <c r="A85" s="54"/>
      <c r="B85" s="55"/>
      <c r="C85" s="58"/>
      <c r="D85" s="29"/>
      <c r="E85" s="30"/>
      <c r="F85" s="31"/>
      <c r="G85" s="31"/>
    </row>
    <row r="86" spans="1:7" s="25" customFormat="1" ht="15">
      <c r="A86" s="54"/>
      <c r="B86" s="55" t="s">
        <v>591</v>
      </c>
      <c r="C86" s="56" t="s">
        <v>143</v>
      </c>
      <c r="D86" s="26"/>
      <c r="E86" s="26"/>
      <c r="F86" s="26"/>
      <c r="G86" s="27"/>
    </row>
    <row r="87" spans="1:7" s="25" customFormat="1" ht="15">
      <c r="A87" s="54"/>
      <c r="B87" s="59"/>
      <c r="C87" s="58"/>
      <c r="D87" s="29"/>
      <c r="E87" s="30"/>
      <c r="F87" s="31"/>
      <c r="G87" s="31"/>
    </row>
    <row r="88" spans="1:7" s="25" customFormat="1" ht="15">
      <c r="A88" s="54"/>
      <c r="B88" s="60" t="s">
        <v>592</v>
      </c>
      <c r="C88" s="61" t="s">
        <v>143</v>
      </c>
      <c r="D88" s="32"/>
      <c r="E88" s="32"/>
      <c r="F88" s="32"/>
      <c r="G88" s="33"/>
    </row>
    <row r="89" spans="1:7">
      <c r="A89" s="53"/>
      <c r="B89" s="62"/>
      <c r="C89" s="63"/>
      <c r="D89" s="23"/>
      <c r="E89" s="24"/>
      <c r="F89" s="24"/>
      <c r="G89" s="13"/>
    </row>
    <row r="90" spans="1:7" ht="17.25">
      <c r="A90" s="53"/>
      <c r="B90" s="60" t="s">
        <v>593</v>
      </c>
      <c r="C90" s="61" t="s">
        <v>143</v>
      </c>
      <c r="D90" s="32"/>
      <c r="E90" s="32"/>
      <c r="F90" s="32"/>
      <c r="G90" s="33"/>
    </row>
    <row r="91" spans="1:7">
      <c r="A91" s="53"/>
      <c r="B91" s="62"/>
      <c r="C91" s="63"/>
      <c r="D91" s="63"/>
      <c r="E91" s="64"/>
      <c r="F91" s="65"/>
      <c r="G91" s="45"/>
    </row>
    <row r="92" spans="1:7" ht="15">
      <c r="A92" s="53"/>
      <c r="B92" s="34" t="s">
        <v>594</v>
      </c>
      <c r="C92" s="63"/>
      <c r="D92" s="63"/>
      <c r="E92" s="64"/>
      <c r="F92" s="65"/>
      <c r="G92" s="45"/>
    </row>
    <row r="93" spans="1:7">
      <c r="A93" s="53"/>
      <c r="B93" s="62"/>
      <c r="C93" s="63"/>
      <c r="D93" s="63"/>
      <c r="E93" s="64"/>
      <c r="F93" s="65"/>
      <c r="G93" s="45"/>
    </row>
    <row r="94" spans="1:7">
      <c r="A94" s="53"/>
      <c r="B94" s="62"/>
      <c r="C94" s="63"/>
      <c r="D94" s="63"/>
      <c r="E94" s="64"/>
      <c r="F94" s="65"/>
      <c r="G94" s="45"/>
    </row>
    <row r="95" spans="1:7">
      <c r="A95" s="53"/>
      <c r="B95" s="62"/>
      <c r="C95" s="63"/>
      <c r="D95" s="63"/>
      <c r="E95" s="64"/>
      <c r="F95" s="65"/>
      <c r="G95" s="45"/>
    </row>
    <row r="96" spans="1:7">
      <c r="A96" s="53"/>
      <c r="B96" s="62"/>
      <c r="C96" s="63"/>
      <c r="D96" s="63"/>
      <c r="E96" s="64"/>
      <c r="F96" s="65"/>
      <c r="G96" s="45"/>
    </row>
    <row r="97" spans="1:7">
      <c r="A97" s="53"/>
      <c r="B97" s="62"/>
      <c r="C97" s="63"/>
      <c r="D97" s="63"/>
      <c r="E97" s="64"/>
      <c r="F97" s="65"/>
      <c r="G97" s="45"/>
    </row>
    <row r="98" spans="1:7">
      <c r="A98" s="53"/>
      <c r="B98" s="62"/>
      <c r="C98" s="63"/>
      <c r="D98" s="63"/>
      <c r="E98" s="64"/>
      <c r="F98" s="65"/>
      <c r="G98" s="45"/>
    </row>
    <row r="99" spans="1:7">
      <c r="A99" s="53"/>
      <c r="B99" s="62"/>
      <c r="C99" s="63"/>
      <c r="D99" s="63"/>
      <c r="E99" s="64"/>
      <c r="F99" s="65"/>
      <c r="G99" s="45"/>
    </row>
    <row r="100" spans="1:7">
      <c r="A100" s="53"/>
      <c r="B100" s="62"/>
      <c r="C100" s="63"/>
      <c r="D100" s="63"/>
      <c r="E100" s="64"/>
      <c r="F100" s="65"/>
      <c r="G100" s="45"/>
    </row>
    <row r="101" spans="1:7">
      <c r="A101" s="53"/>
      <c r="B101" s="62"/>
      <c r="C101" s="63"/>
      <c r="D101" s="63"/>
      <c r="E101" s="64"/>
      <c r="F101" s="65"/>
      <c r="G101" s="45"/>
    </row>
    <row r="102" spans="1:7">
      <c r="A102" s="53"/>
      <c r="B102" s="62"/>
      <c r="C102" s="63"/>
      <c r="D102" s="63"/>
      <c r="E102" s="64"/>
      <c r="F102" s="65"/>
      <c r="G102" s="45"/>
    </row>
    <row r="103" spans="1:7">
      <c r="A103" s="53"/>
      <c r="B103" s="62"/>
      <c r="C103" s="63"/>
      <c r="D103" s="63"/>
      <c r="E103" s="64"/>
      <c r="F103" s="65"/>
      <c r="G103" s="45"/>
    </row>
    <row r="104" spans="1:7" s="13" customFormat="1">
      <c r="A104" s="23"/>
      <c r="C104" s="23"/>
      <c r="D104" s="23"/>
      <c r="E104" s="24"/>
      <c r="F104" s="22"/>
    </row>
    <row r="105" spans="1:7" s="13" customFormat="1">
      <c r="A105" s="23"/>
      <c r="C105" s="23"/>
      <c r="D105" s="23"/>
      <c r="E105" s="24"/>
      <c r="F105" s="22"/>
    </row>
    <row r="106" spans="1:7" s="13" customFormat="1">
      <c r="A106" s="23"/>
      <c r="C106" s="23"/>
      <c r="D106" s="23"/>
      <c r="E106" s="24"/>
      <c r="F106" s="22"/>
    </row>
    <row r="107" spans="1:7" s="13" customFormat="1">
      <c r="A107" s="23"/>
      <c r="C107" s="23"/>
      <c r="D107" s="23"/>
      <c r="E107" s="24"/>
      <c r="F107" s="22"/>
    </row>
    <row r="108" spans="1:7" s="13" customFormat="1">
      <c r="A108" s="23"/>
      <c r="C108" s="23"/>
      <c r="D108" s="23"/>
      <c r="E108" s="24"/>
      <c r="F108" s="22"/>
    </row>
    <row r="109" spans="1:7" s="13" customFormat="1">
      <c r="A109" s="23"/>
      <c r="C109" s="23"/>
      <c r="D109" s="23"/>
      <c r="E109" s="24"/>
      <c r="F109" s="22"/>
    </row>
    <row r="110" spans="1:7" s="13" customFormat="1">
      <c r="A110" s="23"/>
      <c r="C110" s="23"/>
      <c r="D110" s="23"/>
      <c r="E110" s="24"/>
      <c r="F110" s="22"/>
    </row>
    <row r="111" spans="1:7" s="13" customFormat="1">
      <c r="A111" s="23"/>
      <c r="C111" s="23"/>
      <c r="D111" s="23"/>
      <c r="E111" s="24"/>
      <c r="F111" s="22"/>
    </row>
    <row r="112" spans="1:7" s="13" customFormat="1">
      <c r="A112" s="23"/>
      <c r="C112" s="23"/>
      <c r="D112" s="23"/>
      <c r="E112" s="24"/>
      <c r="F112" s="22"/>
    </row>
    <row r="113" spans="1:6" s="13" customFormat="1">
      <c r="A113" s="23"/>
      <c r="C113" s="23"/>
      <c r="D113" s="23"/>
      <c r="E113" s="24"/>
      <c r="F113" s="22"/>
    </row>
    <row r="114" spans="1:6" s="13" customFormat="1">
      <c r="A114" s="23"/>
      <c r="C114" s="23"/>
      <c r="D114" s="23"/>
      <c r="E114" s="24"/>
      <c r="F114" s="22"/>
    </row>
    <row r="115" spans="1:6" s="13" customFormat="1">
      <c r="A115" s="23"/>
      <c r="C115" s="23"/>
      <c r="D115" s="23"/>
      <c r="E115" s="24"/>
      <c r="F115" s="22"/>
    </row>
    <row r="116" spans="1:6" s="13" customFormat="1">
      <c r="A116" s="23"/>
      <c r="C116" s="23"/>
      <c r="D116" s="23"/>
      <c r="E116" s="24"/>
      <c r="F116" s="22"/>
    </row>
    <row r="117" spans="1:6" s="13" customFormat="1">
      <c r="A117" s="23"/>
      <c r="C117" s="23"/>
      <c r="D117" s="23"/>
      <c r="E117" s="24"/>
      <c r="F117" s="22"/>
    </row>
    <row r="118" spans="1:6" s="13" customFormat="1">
      <c r="A118" s="23"/>
      <c r="C118" s="23"/>
      <c r="D118" s="23"/>
      <c r="E118" s="24"/>
      <c r="F118" s="22"/>
    </row>
    <row r="119" spans="1:6" s="13" customFormat="1">
      <c r="A119" s="23"/>
      <c r="C119" s="23"/>
      <c r="D119" s="23"/>
      <c r="E119" s="24"/>
      <c r="F119" s="22"/>
    </row>
    <row r="120" spans="1:6" s="13" customFormat="1">
      <c r="A120" s="23"/>
      <c r="C120" s="23"/>
      <c r="D120" s="23"/>
      <c r="E120" s="24"/>
      <c r="F120" s="22"/>
    </row>
    <row r="121" spans="1:6" s="13" customFormat="1">
      <c r="A121" s="23"/>
      <c r="C121" s="23"/>
      <c r="D121" s="23"/>
      <c r="E121" s="24"/>
      <c r="F121" s="22"/>
    </row>
    <row r="122" spans="1:6" s="13" customFormat="1">
      <c r="A122" s="23"/>
      <c r="C122" s="23"/>
      <c r="D122" s="23"/>
      <c r="E122" s="24"/>
      <c r="F122" s="22"/>
    </row>
    <row r="123" spans="1:6" s="13" customFormat="1">
      <c r="A123" s="23"/>
      <c r="C123" s="23"/>
      <c r="D123" s="23"/>
      <c r="E123" s="24"/>
      <c r="F123" s="22"/>
    </row>
    <row r="124" spans="1:6" s="13" customFormat="1">
      <c r="A124" s="23"/>
      <c r="C124" s="23"/>
      <c r="D124" s="23"/>
      <c r="E124" s="24"/>
      <c r="F124" s="22"/>
    </row>
    <row r="125" spans="1:6" s="13" customFormat="1">
      <c r="A125" s="23"/>
      <c r="C125" s="23"/>
      <c r="D125" s="23"/>
      <c r="E125" s="24"/>
      <c r="F125" s="22"/>
    </row>
    <row r="126" spans="1:6" s="13" customFormat="1">
      <c r="A126" s="23"/>
      <c r="C126" s="23"/>
      <c r="D126" s="23"/>
      <c r="E126" s="24"/>
      <c r="F126" s="22"/>
    </row>
    <row r="127" spans="1:6" s="13" customFormat="1">
      <c r="A127" s="23"/>
      <c r="C127" s="23"/>
      <c r="D127" s="23"/>
      <c r="E127" s="24"/>
      <c r="F127" s="22"/>
    </row>
    <row r="128" spans="1:6" s="13" customFormat="1">
      <c r="A128" s="23"/>
      <c r="C128" s="23"/>
      <c r="D128" s="23"/>
      <c r="E128" s="24"/>
      <c r="F128" s="22"/>
    </row>
    <row r="129" spans="1:18" s="13" customFormat="1">
      <c r="A129" s="23"/>
      <c r="C129" s="23"/>
      <c r="D129" s="23"/>
      <c r="E129" s="24"/>
      <c r="F129" s="22"/>
    </row>
    <row r="130" spans="1:18" s="13" customFormat="1">
      <c r="A130" s="23"/>
      <c r="C130" s="23"/>
      <c r="D130" s="23"/>
      <c r="E130" s="24"/>
      <c r="F130" s="22"/>
    </row>
    <row r="131" spans="1:18" s="13" customFormat="1">
      <c r="A131" s="23"/>
      <c r="C131" s="23"/>
      <c r="D131" s="23"/>
      <c r="E131" s="24"/>
      <c r="F131" s="22"/>
    </row>
    <row r="132" spans="1:18" s="13" customFormat="1">
      <c r="A132" s="23"/>
      <c r="C132" s="23"/>
      <c r="D132" s="23"/>
      <c r="E132" s="24"/>
      <c r="F132" s="22"/>
    </row>
    <row r="133" spans="1:18" s="13" customFormat="1">
      <c r="A133" s="23"/>
      <c r="C133" s="23"/>
      <c r="D133" s="23"/>
      <c r="E133" s="24"/>
      <c r="F133" s="22"/>
    </row>
    <row r="134" spans="1:18" s="13" customFormat="1">
      <c r="A134" s="23"/>
      <c r="C134" s="23"/>
      <c r="D134" s="23"/>
      <c r="E134" s="24"/>
      <c r="F134" s="22"/>
    </row>
    <row r="135" spans="1:18" s="13" customFormat="1">
      <c r="A135" s="23"/>
      <c r="C135" s="23"/>
      <c r="D135" s="23"/>
      <c r="E135" s="24"/>
      <c r="F135" s="22"/>
      <c r="H135" s="8"/>
      <c r="I135" s="8"/>
      <c r="J135" s="8"/>
    </row>
    <row r="136" spans="1:18" s="13" customFormat="1">
      <c r="A136" s="23"/>
      <c r="C136" s="23"/>
      <c r="D136" s="23"/>
      <c r="E136" s="24"/>
      <c r="F136" s="22"/>
      <c r="H136" s="8"/>
      <c r="I136" s="8"/>
      <c r="J136" s="8"/>
    </row>
    <row r="137" spans="1:18" s="13" customFormat="1">
      <c r="A137" s="23"/>
      <c r="C137" s="23"/>
      <c r="D137" s="23"/>
      <c r="E137" s="24"/>
      <c r="F137" s="22"/>
      <c r="H137" s="8"/>
      <c r="I137" s="8"/>
      <c r="J137" s="8"/>
    </row>
    <row r="138" spans="1:18" s="13" customFormat="1">
      <c r="A138" s="23"/>
      <c r="C138" s="23"/>
      <c r="D138" s="23"/>
      <c r="E138" s="24"/>
      <c r="F138" s="22"/>
      <c r="H138" s="8"/>
      <c r="I138" s="8"/>
      <c r="J138" s="8"/>
    </row>
    <row r="139" spans="1:18" s="13" customFormat="1">
      <c r="A139" s="23"/>
      <c r="C139" s="23"/>
      <c r="D139" s="23"/>
      <c r="E139" s="24"/>
      <c r="F139" s="22"/>
      <c r="H139" s="8"/>
      <c r="I139" s="8"/>
      <c r="J139" s="8"/>
    </row>
    <row r="140" spans="1:18" s="13" customFormat="1">
      <c r="A140" s="23"/>
      <c r="C140" s="23"/>
      <c r="D140" s="23"/>
      <c r="E140" s="24"/>
      <c r="F140" s="22"/>
      <c r="H140" s="8"/>
      <c r="I140" s="8"/>
      <c r="J140" s="8"/>
    </row>
    <row r="141" spans="1:18" s="13" customFormat="1">
      <c r="A141" s="23"/>
      <c r="C141" s="23"/>
      <c r="D141" s="23"/>
      <c r="E141" s="24"/>
      <c r="F141" s="22"/>
      <c r="H141" s="8"/>
      <c r="I141" s="8"/>
      <c r="J141" s="8"/>
      <c r="K141" s="8"/>
      <c r="L141" s="8"/>
      <c r="M141" s="8"/>
      <c r="N141" s="8"/>
      <c r="O141" s="8"/>
      <c r="P141" s="8"/>
    </row>
    <row r="142" spans="1:18" s="13" customFormat="1">
      <c r="A142" s="23"/>
      <c r="C142" s="23"/>
      <c r="D142" s="23"/>
      <c r="E142" s="24"/>
      <c r="F142" s="22"/>
      <c r="H142" s="8"/>
      <c r="I142" s="8"/>
      <c r="J142" s="8"/>
      <c r="K142" s="8"/>
      <c r="L142" s="8"/>
      <c r="M142" s="8"/>
      <c r="N142" s="8"/>
      <c r="O142" s="8"/>
      <c r="P142" s="8"/>
    </row>
    <row r="143" spans="1:18" s="13" customFormat="1">
      <c r="A143" s="23"/>
      <c r="C143" s="23"/>
      <c r="D143" s="23"/>
      <c r="E143" s="24"/>
      <c r="F143" s="22"/>
      <c r="H143" s="8"/>
      <c r="I143" s="8"/>
      <c r="J143" s="8"/>
      <c r="K143" s="8"/>
      <c r="L143" s="8"/>
      <c r="M143" s="8"/>
      <c r="N143" s="8"/>
      <c r="O143" s="8"/>
      <c r="P143" s="8"/>
      <c r="Q143" s="8"/>
      <c r="R143" s="8"/>
    </row>
    <row r="144" spans="1:18" s="13" customFormat="1">
      <c r="A144" s="23"/>
      <c r="C144" s="23"/>
      <c r="D144" s="23"/>
      <c r="E144" s="24"/>
      <c r="F144" s="22"/>
      <c r="H144" s="8"/>
      <c r="I144" s="8"/>
      <c r="J144" s="8"/>
      <c r="K144" s="8"/>
      <c r="L144" s="8"/>
      <c r="M144" s="8"/>
      <c r="N144" s="8"/>
      <c r="O144" s="8"/>
      <c r="P144" s="8"/>
      <c r="Q144" s="8"/>
      <c r="R144" s="8"/>
    </row>
    <row r="145" spans="1:18" s="13" customFormat="1">
      <c r="A145" s="23"/>
      <c r="C145" s="23"/>
      <c r="D145" s="23"/>
      <c r="E145" s="24"/>
      <c r="F145" s="22"/>
      <c r="H145" s="8"/>
      <c r="I145" s="8"/>
      <c r="J145" s="8"/>
      <c r="K145" s="8"/>
      <c r="L145" s="8"/>
      <c r="M145" s="8"/>
      <c r="N145" s="8"/>
      <c r="O145" s="8"/>
      <c r="P145" s="8"/>
      <c r="Q145" s="8"/>
      <c r="R145" s="8"/>
    </row>
    <row r="146" spans="1:18">
      <c r="A146" s="23"/>
      <c r="B146" s="13"/>
      <c r="C146" s="23"/>
      <c r="D146" s="23"/>
      <c r="E146" s="24"/>
      <c r="G146" s="13"/>
    </row>
    <row r="147" spans="1:18">
      <c r="A147" s="23"/>
      <c r="B147" s="13"/>
      <c r="C147" s="23"/>
      <c r="D147" s="23"/>
      <c r="E147" s="24"/>
      <c r="G147" s="13"/>
    </row>
    <row r="148" spans="1:18">
      <c r="A148" s="23"/>
      <c r="B148" s="13"/>
      <c r="C148" s="23"/>
      <c r="D148" s="23"/>
      <c r="E148" s="24"/>
      <c r="G148" s="13"/>
    </row>
    <row r="149" spans="1:18">
      <c r="A149" s="23"/>
      <c r="B149" s="13"/>
      <c r="C149" s="23"/>
      <c r="D149" s="23"/>
      <c r="E149" s="24"/>
      <c r="G149" s="13"/>
    </row>
    <row r="150" spans="1:18">
      <c r="A150" s="23"/>
      <c r="B150" s="13"/>
      <c r="C150" s="23"/>
      <c r="D150" s="23"/>
      <c r="E150" s="24"/>
      <c r="G150" s="13"/>
    </row>
    <row r="151" spans="1:18">
      <c r="A151" s="23"/>
      <c r="B151" s="13"/>
      <c r="C151" s="23"/>
      <c r="D151" s="23"/>
      <c r="E151" s="24"/>
      <c r="G151" s="13"/>
    </row>
    <row r="152" spans="1:18">
      <c r="A152" s="23"/>
      <c r="B152" s="13"/>
      <c r="C152" s="23"/>
      <c r="D152" s="23"/>
      <c r="E152" s="24"/>
      <c r="G152" s="13"/>
    </row>
    <row r="153" spans="1:18">
      <c r="A153" s="23"/>
      <c r="B153" s="13"/>
      <c r="C153" s="23"/>
      <c r="D153" s="23"/>
      <c r="E153" s="24"/>
      <c r="G153" s="13"/>
    </row>
    <row r="154" spans="1:18">
      <c r="A154" s="23"/>
      <c r="B154" s="13"/>
      <c r="C154" s="23"/>
      <c r="D154" s="23"/>
      <c r="E154" s="24"/>
      <c r="G154" s="13"/>
    </row>
    <row r="155" spans="1:18">
      <c r="A155" s="23"/>
      <c r="B155" s="13"/>
      <c r="C155" s="23"/>
      <c r="D155" s="23"/>
      <c r="E155" s="24"/>
      <c r="G155" s="13"/>
    </row>
    <row r="156" spans="1:18">
      <c r="A156" s="23"/>
      <c r="B156" s="13"/>
      <c r="C156" s="23"/>
      <c r="D156" s="23"/>
      <c r="E156" s="24"/>
      <c r="G156" s="13"/>
    </row>
    <row r="157" spans="1:18">
      <c r="A157" s="23"/>
      <c r="B157" s="13"/>
      <c r="C157" s="23"/>
      <c r="D157" s="23"/>
      <c r="E157" s="24"/>
      <c r="G157" s="13"/>
    </row>
    <row r="158" spans="1:18">
      <c r="A158" s="23"/>
      <c r="B158" s="13"/>
      <c r="C158" s="23"/>
      <c r="D158" s="23"/>
      <c r="E158" s="24"/>
      <c r="G158" s="13"/>
    </row>
    <row r="159" spans="1:18">
      <c r="A159" s="23"/>
      <c r="B159" s="13"/>
      <c r="C159" s="23"/>
      <c r="D159" s="23"/>
      <c r="E159" s="24"/>
      <c r="G159" s="13"/>
    </row>
    <row r="160" spans="1:18">
      <c r="A160" s="23"/>
      <c r="B160" s="13"/>
      <c r="C160" s="23"/>
      <c r="D160" s="23"/>
      <c r="E160" s="24"/>
      <c r="G160" s="13"/>
    </row>
    <row r="161" spans="1:7">
      <c r="A161" s="23"/>
      <c r="B161" s="13"/>
      <c r="C161" s="23"/>
      <c r="D161" s="23"/>
      <c r="E161" s="24"/>
      <c r="G161" s="13"/>
    </row>
    <row r="162" spans="1:7">
      <c r="A162" s="23"/>
      <c r="B162" s="13"/>
      <c r="C162" s="23"/>
      <c r="D162" s="23"/>
      <c r="E162" s="24"/>
      <c r="G162" s="13"/>
    </row>
    <row r="163" spans="1:7">
      <c r="A163" s="23"/>
      <c r="B163" s="13"/>
      <c r="C163" s="23"/>
      <c r="D163" s="23"/>
      <c r="E163" s="24"/>
      <c r="G163" s="13"/>
    </row>
    <row r="164" spans="1:7">
      <c r="A164" s="23"/>
      <c r="B164" s="13"/>
      <c r="C164" s="23"/>
      <c r="D164" s="23"/>
      <c r="E164" s="24"/>
      <c r="G164" s="13"/>
    </row>
    <row r="165" spans="1:7">
      <c r="A165" s="23"/>
      <c r="B165" s="13"/>
      <c r="C165" s="23"/>
      <c r="D165" s="23"/>
      <c r="E165" s="24"/>
      <c r="G165" s="13"/>
    </row>
    <row r="166" spans="1:7">
      <c r="A166" s="23"/>
      <c r="B166" s="13"/>
      <c r="C166" s="23"/>
      <c r="D166" s="23"/>
      <c r="E166" s="24"/>
      <c r="G166" s="13"/>
    </row>
    <row r="167" spans="1:7">
      <c r="A167" s="23"/>
      <c r="B167" s="13"/>
      <c r="C167" s="23"/>
      <c r="D167" s="23"/>
      <c r="E167" s="24"/>
      <c r="G167" s="13"/>
    </row>
    <row r="168" spans="1:7">
      <c r="A168" s="23"/>
      <c r="B168" s="13"/>
      <c r="C168" s="23"/>
      <c r="D168" s="23"/>
      <c r="E168" s="24"/>
      <c r="G168" s="13"/>
    </row>
    <row r="169" spans="1:7">
      <c r="A169" s="23"/>
      <c r="B169" s="13"/>
      <c r="C169" s="23"/>
      <c r="D169" s="23"/>
      <c r="E169" s="24"/>
      <c r="G169" s="13"/>
    </row>
    <row r="170" spans="1:7">
      <c r="A170" s="23"/>
      <c r="B170" s="13"/>
      <c r="C170" s="23"/>
      <c r="D170" s="23"/>
      <c r="E170" s="24"/>
      <c r="G170" s="13"/>
    </row>
    <row r="171" spans="1:7">
      <c r="A171" s="23"/>
      <c r="B171" s="13"/>
      <c r="C171" s="23"/>
      <c r="D171" s="23"/>
      <c r="E171" s="24"/>
      <c r="G171" s="13"/>
    </row>
    <row r="172" spans="1:7">
      <c r="G172" s="13"/>
    </row>
    <row r="173" spans="1:7">
      <c r="G173" s="13"/>
    </row>
    <row r="174" spans="1:7">
      <c r="G174" s="13"/>
    </row>
  </sheetData>
  <sheetProtection password="C683" sheet="1" objects="1" scenarios="1" selectLockedCells="1"/>
  <mergeCells count="9">
    <mergeCell ref="D88:G88"/>
    <mergeCell ref="D90:G90"/>
    <mergeCell ref="A30:G30"/>
    <mergeCell ref="A31:G31"/>
    <mergeCell ref="D82:G82"/>
    <mergeCell ref="D84:G84"/>
    <mergeCell ref="D86:G86"/>
    <mergeCell ref="A32:G32"/>
    <mergeCell ref="A75:C75"/>
  </mergeCells>
  <printOptions horizontalCentered="1"/>
  <pageMargins left="0.75" right="0.75" top="0.75" bottom="0.75" header="0.3" footer="0.3"/>
  <pageSetup paperSize="9" orientation="portrait" horizontalDpi="1200" verticalDpi="1200" r:id="rId1"/>
  <headerFooter differentFirst="1">
    <oddFooter>&amp;C&amp;"+,Regular"&amp;8Page &amp;P of &amp;N</oddFooter>
  </headerFooter>
</worksheet>
</file>

<file path=xl/worksheets/sheet2.xml><?xml version="1.0" encoding="utf-8"?>
<worksheet xmlns="http://schemas.openxmlformats.org/spreadsheetml/2006/main" xmlns:r="http://schemas.openxmlformats.org/officeDocument/2006/relationships">
  <sheetPr transitionEvaluation="1" codeName="Sheet3" enableFormatConditionsCalculation="0">
    <tabColor indexed="34"/>
  </sheetPr>
  <dimension ref="A1:IJ1015"/>
  <sheetViews>
    <sheetView showGridLines="0" showZeros="0" view="pageBreakPreview" zoomScaleSheetLayoutView="100" workbookViewId="0">
      <selection activeCell="E85" sqref="E85"/>
    </sheetView>
  </sheetViews>
  <sheetFormatPr defaultRowHeight="12"/>
  <cols>
    <col min="1" max="1" width="5.7109375" style="291" customWidth="1"/>
    <col min="2" max="2" width="47.7109375" style="147" customWidth="1"/>
    <col min="3" max="3" width="6.5703125" style="148" bestFit="1" customWidth="1"/>
    <col min="4" max="4" width="5" style="148" bestFit="1" customWidth="1"/>
    <col min="5" max="5" width="8.140625" style="86" bestFit="1" customWidth="1"/>
    <col min="6" max="6" width="7.140625" style="87" bestFit="1" customWidth="1"/>
    <col min="7" max="7" width="7.42578125" style="88" customWidth="1"/>
    <col min="8" max="16384" width="9.140625" style="88"/>
  </cols>
  <sheetData>
    <row r="1" spans="1:7" s="81" customFormat="1" ht="18.75">
      <c r="A1" s="137" t="s">
        <v>116</v>
      </c>
      <c r="B1" s="43"/>
      <c r="C1" s="138"/>
      <c r="D1" s="139"/>
      <c r="E1" s="79"/>
      <c r="F1" s="80"/>
      <c r="G1" s="78"/>
    </row>
    <row r="2" spans="1:7" s="81" customFormat="1">
      <c r="A2" s="43" t="s">
        <v>81</v>
      </c>
      <c r="B2" s="140"/>
      <c r="C2" s="138"/>
      <c r="D2" s="139"/>
      <c r="E2" s="77"/>
      <c r="G2" s="78"/>
    </row>
    <row r="3" spans="1:7" s="81" customFormat="1">
      <c r="A3" s="43" t="s">
        <v>82</v>
      </c>
      <c r="B3" s="140"/>
      <c r="C3" s="138"/>
      <c r="D3" s="139"/>
      <c r="E3" s="77"/>
      <c r="G3" s="78"/>
    </row>
    <row r="4" spans="1:7" s="81" customFormat="1">
      <c r="A4" s="43">
        <v>0</v>
      </c>
      <c r="B4" s="140"/>
      <c r="C4" s="138"/>
      <c r="D4" s="139"/>
      <c r="E4" s="77"/>
      <c r="G4" s="78"/>
    </row>
    <row r="5" spans="1:7" s="81" customFormat="1" ht="14.25">
      <c r="A5" s="43" t="s">
        <v>556</v>
      </c>
      <c r="B5" s="140"/>
      <c r="C5" s="138"/>
      <c r="D5" s="139"/>
      <c r="E5" s="77"/>
      <c r="G5" s="78"/>
    </row>
    <row r="6" spans="1:7" s="81" customFormat="1">
      <c r="A6" s="43">
        <v>0</v>
      </c>
      <c r="B6" s="140"/>
      <c r="C6" s="138"/>
      <c r="D6" s="139"/>
      <c r="E6" s="77"/>
      <c r="G6" s="78"/>
    </row>
    <row r="7" spans="1:7" s="81" customFormat="1">
      <c r="A7" s="141" t="s">
        <v>382</v>
      </c>
      <c r="B7" s="140"/>
      <c r="C7" s="142"/>
      <c r="D7" s="139"/>
      <c r="E7" s="82"/>
      <c r="G7" s="78"/>
    </row>
    <row r="8" spans="1:7" s="81" customFormat="1">
      <c r="A8" s="42" t="s">
        <v>144</v>
      </c>
      <c r="B8" s="140"/>
      <c r="C8" s="143"/>
      <c r="D8" s="143"/>
      <c r="E8" s="83"/>
      <c r="G8" s="78"/>
    </row>
    <row r="9" spans="1:7" s="81" customFormat="1">
      <c r="A9" s="43" t="s">
        <v>597</v>
      </c>
      <c r="B9" s="140"/>
      <c r="C9" s="144"/>
      <c r="D9" s="139"/>
      <c r="E9" s="77"/>
      <c r="F9" s="81" t="s">
        <v>1</v>
      </c>
      <c r="G9" s="78" t="s">
        <v>1</v>
      </c>
    </row>
    <row r="10" spans="1:7" s="81" customFormat="1">
      <c r="A10" s="145"/>
      <c r="B10" s="140"/>
      <c r="C10" s="144"/>
      <c r="D10" s="139"/>
      <c r="E10" s="77"/>
      <c r="G10" s="78"/>
    </row>
    <row r="12" spans="1:7">
      <c r="A12" s="146"/>
    </row>
    <row r="13" spans="1:7">
      <c r="A13" s="146"/>
    </row>
    <row r="14" spans="1:7">
      <c r="A14" s="146"/>
    </row>
    <row r="15" spans="1:7">
      <c r="A15" s="146"/>
    </row>
    <row r="16" spans="1:7" ht="18.75">
      <c r="A16" s="149" t="s">
        <v>145</v>
      </c>
      <c r="B16" s="149"/>
      <c r="C16" s="149"/>
      <c r="D16" s="149"/>
      <c r="E16" s="89"/>
      <c r="F16" s="89"/>
      <c r="G16" s="89"/>
    </row>
    <row r="17" spans="1:7">
      <c r="A17" s="150"/>
      <c r="B17" s="150"/>
      <c r="C17" s="151"/>
      <c r="D17" s="151"/>
      <c r="E17" s="90"/>
      <c r="F17" s="90"/>
      <c r="G17" s="90"/>
    </row>
    <row r="18" spans="1:7">
      <c r="A18" s="152" t="s">
        <v>384</v>
      </c>
      <c r="C18" s="153"/>
      <c r="D18" s="153"/>
      <c r="E18" s="92"/>
      <c r="F18" s="93"/>
      <c r="G18" s="94"/>
    </row>
    <row r="19" spans="1:7">
      <c r="A19" s="150"/>
      <c r="B19" s="150"/>
      <c r="C19" s="154"/>
      <c r="D19" s="151"/>
      <c r="E19" s="90"/>
      <c r="F19" s="90"/>
      <c r="G19" s="90"/>
    </row>
    <row r="20" spans="1:7" ht="12.75" customHeight="1">
      <c r="A20" s="155" t="s">
        <v>40</v>
      </c>
      <c r="B20" s="156" t="str">
        <f>B77</f>
        <v>SITE PREPARATION</v>
      </c>
      <c r="D20" s="157" t="s">
        <v>143</v>
      </c>
      <c r="E20" s="298"/>
      <c r="F20" s="299"/>
      <c r="G20" s="300"/>
    </row>
    <row r="21" spans="1:7">
      <c r="A21" s="155"/>
      <c r="B21" s="156"/>
      <c r="D21" s="157"/>
      <c r="E21" s="92"/>
      <c r="F21" s="92"/>
      <c r="G21" s="94"/>
    </row>
    <row r="22" spans="1:7" ht="12.75" customHeight="1">
      <c r="A22" s="155" t="s">
        <v>45</v>
      </c>
      <c r="B22" s="156" t="str">
        <f>B80</f>
        <v>FOUNDATION</v>
      </c>
      <c r="D22" s="157" t="s">
        <v>143</v>
      </c>
      <c r="E22" s="298"/>
      <c r="F22" s="299"/>
      <c r="G22" s="300"/>
    </row>
    <row r="23" spans="1:7">
      <c r="A23" s="158"/>
      <c r="B23" s="159"/>
      <c r="D23" s="157"/>
      <c r="E23" s="92"/>
      <c r="F23" s="92"/>
      <c r="G23" s="94"/>
    </row>
    <row r="24" spans="1:7" ht="12.75" customHeight="1">
      <c r="A24" s="155" t="s">
        <v>46</v>
      </c>
      <c r="B24" s="156" t="str">
        <f>B162</f>
        <v>SLAB ON FILL</v>
      </c>
      <c r="D24" s="157" t="s">
        <v>143</v>
      </c>
      <c r="E24" s="298"/>
      <c r="F24" s="299"/>
      <c r="G24" s="300"/>
    </row>
    <row r="25" spans="1:7">
      <c r="A25" s="155"/>
      <c r="B25" s="156"/>
      <c r="D25" s="157"/>
      <c r="E25" s="92"/>
      <c r="F25" s="92"/>
      <c r="G25" s="94"/>
    </row>
    <row r="26" spans="1:7" ht="12.75" customHeight="1">
      <c r="A26" s="155" t="s">
        <v>47</v>
      </c>
      <c r="B26" s="156" t="str">
        <f>B176</f>
        <v>CONCRETE FRAMES</v>
      </c>
      <c r="D26" s="157" t="s">
        <v>143</v>
      </c>
      <c r="E26" s="298"/>
      <c r="F26" s="299"/>
      <c r="G26" s="300"/>
    </row>
    <row r="27" spans="1:7">
      <c r="A27" s="155"/>
      <c r="B27" s="156"/>
      <c r="D27" s="157"/>
      <c r="E27" s="92"/>
      <c r="F27" s="92"/>
      <c r="G27" s="94"/>
    </row>
    <row r="28" spans="1:7" ht="12.75" customHeight="1">
      <c r="A28" s="155" t="s">
        <v>48</v>
      </c>
      <c r="B28" s="156" t="str">
        <f>B211</f>
        <v>MASONRY WORKS</v>
      </c>
      <c r="D28" s="157" t="s">
        <v>143</v>
      </c>
      <c r="E28" s="298"/>
      <c r="F28" s="299"/>
      <c r="G28" s="300"/>
    </row>
    <row r="29" spans="1:7">
      <c r="A29" s="155"/>
      <c r="B29" s="156"/>
      <c r="D29" s="157"/>
      <c r="E29" s="92"/>
      <c r="F29" s="92"/>
      <c r="G29" s="94"/>
    </row>
    <row r="30" spans="1:7" ht="12.75" customHeight="1">
      <c r="A30" s="155" t="s">
        <v>49</v>
      </c>
      <c r="B30" s="156" t="str">
        <f>B220</f>
        <v xml:space="preserve"> WALL FINISHES</v>
      </c>
      <c r="D30" s="157" t="s">
        <v>143</v>
      </c>
      <c r="E30" s="298"/>
      <c r="F30" s="299"/>
      <c r="G30" s="300"/>
    </row>
    <row r="31" spans="1:7">
      <c r="A31" s="155"/>
      <c r="B31" s="156"/>
      <c r="D31" s="157"/>
      <c r="E31" s="92"/>
      <c r="F31" s="92"/>
      <c r="G31" s="94"/>
    </row>
    <row r="32" spans="1:7" ht="12.75" customHeight="1">
      <c r="A32" s="155" t="s">
        <v>50</v>
      </c>
      <c r="B32" s="156" t="str">
        <f>B242</f>
        <v>FLOOR FINISHES</v>
      </c>
      <c r="D32" s="157" t="s">
        <v>143</v>
      </c>
      <c r="E32" s="298"/>
      <c r="F32" s="299"/>
      <c r="G32" s="300"/>
    </row>
    <row r="33" spans="1:244">
      <c r="A33" s="155"/>
      <c r="B33" s="156"/>
      <c r="D33" s="157"/>
      <c r="E33" s="92"/>
      <c r="F33" s="92"/>
      <c r="G33" s="94"/>
    </row>
    <row r="34" spans="1:244" ht="12.75" customHeight="1">
      <c r="A34" s="155" t="s">
        <v>51</v>
      </c>
      <c r="B34" s="156" t="str">
        <f>B264</f>
        <v>CEILING  FINISHES</v>
      </c>
      <c r="D34" s="157" t="s">
        <v>143</v>
      </c>
      <c r="E34" s="298"/>
      <c r="F34" s="299"/>
      <c r="G34" s="300"/>
    </row>
    <row r="35" spans="1:244">
      <c r="A35" s="155"/>
      <c r="B35" s="156"/>
      <c r="D35" s="157"/>
      <c r="E35" s="92"/>
      <c r="F35" s="92"/>
      <c r="G35" s="94"/>
    </row>
    <row r="36" spans="1:244" ht="12.75" customHeight="1">
      <c r="A36" s="155" t="s">
        <v>52</v>
      </c>
      <c r="B36" s="156" t="str">
        <f>B286</f>
        <v>DOORS &amp; WINDOWS</v>
      </c>
      <c r="D36" s="157" t="s">
        <v>143</v>
      </c>
      <c r="E36" s="298"/>
      <c r="F36" s="299"/>
      <c r="G36" s="300"/>
    </row>
    <row r="37" spans="1:244">
      <c r="A37" s="155"/>
      <c r="B37" s="156"/>
      <c r="D37" s="157"/>
      <c r="E37" s="92"/>
      <c r="F37" s="92"/>
      <c r="G37" s="94"/>
    </row>
    <row r="38" spans="1:244" ht="12.75" customHeight="1">
      <c r="A38" s="155" t="s">
        <v>68</v>
      </c>
      <c r="B38" s="156" t="str">
        <f>B407</f>
        <v>ELECTRICAL FIXTURES AND FITTINGS</v>
      </c>
      <c r="D38" s="157" t="s">
        <v>143</v>
      </c>
      <c r="E38" s="298"/>
      <c r="F38" s="299"/>
      <c r="G38" s="300"/>
      <c r="H38" s="95"/>
      <c r="I38" s="95"/>
      <c r="J38" s="95"/>
      <c r="K38" s="95"/>
      <c r="L38" s="95"/>
      <c r="M38" s="95"/>
      <c r="N38" s="95"/>
      <c r="O38" s="95"/>
      <c r="P38" s="95"/>
      <c r="Q38" s="95"/>
      <c r="R38" s="95"/>
      <c r="S38" s="95"/>
      <c r="T38" s="95"/>
      <c r="U38" s="95"/>
      <c r="V38" s="95"/>
      <c r="W38" s="95"/>
      <c r="X38" s="95"/>
      <c r="Y38" s="95"/>
      <c r="Z38" s="95"/>
      <c r="AA38" s="95"/>
      <c r="AB38" s="95"/>
      <c r="AC38" s="95"/>
      <c r="AD38" s="95"/>
      <c r="AE38" s="95"/>
      <c r="AF38" s="95"/>
      <c r="AG38" s="95"/>
      <c r="AH38" s="95"/>
      <c r="AI38" s="95"/>
      <c r="AJ38" s="95"/>
      <c r="AK38" s="95"/>
      <c r="AL38" s="95"/>
      <c r="AM38" s="95"/>
      <c r="AN38" s="95"/>
      <c r="AO38" s="95"/>
      <c r="AP38" s="95"/>
      <c r="AQ38" s="95"/>
      <c r="AR38" s="95"/>
      <c r="AS38" s="95"/>
      <c r="AT38" s="95"/>
      <c r="AU38" s="95"/>
      <c r="AV38" s="95"/>
      <c r="AW38" s="95"/>
      <c r="AX38" s="95"/>
      <c r="AY38" s="95"/>
      <c r="AZ38" s="95"/>
      <c r="BA38" s="95"/>
      <c r="BB38" s="95"/>
      <c r="BC38" s="95"/>
      <c r="BD38" s="95"/>
      <c r="BE38" s="95"/>
      <c r="BF38" s="95"/>
      <c r="BG38" s="95"/>
      <c r="BH38" s="95"/>
      <c r="BI38" s="95"/>
      <c r="BJ38" s="95"/>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c r="DX38" s="95"/>
      <c r="DY38" s="95"/>
      <c r="DZ38" s="95"/>
      <c r="EA38" s="95"/>
      <c r="EB38" s="95"/>
      <c r="EC38" s="95"/>
      <c r="ED38" s="95"/>
      <c r="EE38" s="95"/>
      <c r="EF38" s="95"/>
      <c r="EG38" s="95"/>
      <c r="EH38" s="95"/>
      <c r="EI38" s="95"/>
      <c r="EJ38" s="95"/>
      <c r="EK38" s="95"/>
      <c r="EL38" s="95"/>
      <c r="EM38" s="95"/>
      <c r="EN38" s="95"/>
      <c r="EO38" s="95"/>
      <c r="EP38" s="95"/>
      <c r="EQ38" s="95"/>
      <c r="ER38" s="95"/>
      <c r="ES38" s="95"/>
      <c r="ET38" s="95"/>
      <c r="EU38" s="95"/>
      <c r="EV38" s="95"/>
      <c r="EW38" s="95"/>
      <c r="EX38" s="95"/>
      <c r="EY38" s="95"/>
      <c r="EZ38" s="95"/>
      <c r="FA38" s="95"/>
      <c r="FB38" s="95"/>
      <c r="FC38" s="95"/>
      <c r="FD38" s="95"/>
      <c r="FE38" s="95"/>
      <c r="FF38" s="95"/>
      <c r="FG38" s="95"/>
      <c r="FH38" s="95"/>
      <c r="FI38" s="95"/>
      <c r="FJ38" s="95"/>
      <c r="FK38" s="95"/>
      <c r="FL38" s="95"/>
      <c r="FM38" s="95"/>
      <c r="FN38" s="95"/>
      <c r="FO38" s="95"/>
      <c r="FP38" s="95"/>
      <c r="FQ38" s="95"/>
      <c r="FR38" s="95"/>
      <c r="FS38" s="95"/>
      <c r="FT38" s="95"/>
      <c r="FU38" s="95"/>
      <c r="FV38" s="95"/>
      <c r="FW38" s="95"/>
      <c r="FX38" s="95"/>
      <c r="FY38" s="95"/>
      <c r="FZ38" s="95"/>
      <c r="GA38" s="95"/>
      <c r="GB38" s="95"/>
      <c r="GC38" s="95"/>
      <c r="GD38" s="95"/>
      <c r="GE38" s="95"/>
      <c r="GF38" s="95"/>
      <c r="GG38" s="95"/>
      <c r="GH38" s="95"/>
      <c r="GI38" s="95"/>
      <c r="GJ38" s="95"/>
      <c r="GK38" s="95"/>
      <c r="GL38" s="95"/>
      <c r="GM38" s="95"/>
      <c r="GN38" s="95"/>
      <c r="GO38" s="95"/>
      <c r="GP38" s="95"/>
      <c r="GQ38" s="95"/>
      <c r="GR38" s="95"/>
      <c r="GS38" s="95"/>
      <c r="GT38" s="95"/>
      <c r="GU38" s="95"/>
      <c r="GV38" s="95"/>
      <c r="GW38" s="95"/>
      <c r="GX38" s="95"/>
      <c r="GY38" s="95"/>
      <c r="GZ38" s="95"/>
      <c r="HA38" s="95"/>
      <c r="HB38" s="95"/>
      <c r="HC38" s="95"/>
      <c r="HD38" s="95"/>
      <c r="HE38" s="95"/>
      <c r="HF38" s="95"/>
      <c r="HG38" s="95"/>
      <c r="HH38" s="95"/>
      <c r="HI38" s="95"/>
      <c r="HJ38" s="95"/>
      <c r="HK38" s="95"/>
      <c r="HL38" s="95"/>
      <c r="HM38" s="95"/>
      <c r="HN38" s="95"/>
      <c r="HO38" s="95"/>
      <c r="HP38" s="95"/>
      <c r="HQ38" s="95"/>
      <c r="HR38" s="95"/>
      <c r="HS38" s="95"/>
      <c r="HT38" s="95"/>
      <c r="HU38" s="95"/>
      <c r="HV38" s="95"/>
      <c r="HW38" s="95"/>
      <c r="HX38" s="95"/>
      <c r="HY38" s="95"/>
      <c r="HZ38" s="95"/>
      <c r="IA38" s="95"/>
      <c r="IB38" s="95"/>
      <c r="IC38" s="95"/>
      <c r="ID38" s="95"/>
      <c r="IE38" s="95"/>
      <c r="IF38" s="95"/>
      <c r="IG38" s="95"/>
      <c r="IH38" s="95"/>
      <c r="II38" s="95"/>
      <c r="IJ38" s="95"/>
    </row>
    <row r="39" spans="1:244">
      <c r="A39" s="155"/>
      <c r="B39" s="156"/>
      <c r="D39" s="157"/>
      <c r="E39" s="92"/>
      <c r="F39" s="92"/>
      <c r="G39" s="94"/>
    </row>
    <row r="40" spans="1:244" ht="12.75" customHeight="1">
      <c r="A40" s="155" t="s">
        <v>69</v>
      </c>
      <c r="B40" s="156" t="str">
        <f>B436</f>
        <v>AIR CONDITIONING SYSTEM</v>
      </c>
      <c r="D40" s="157" t="s">
        <v>143</v>
      </c>
      <c r="E40" s="298"/>
      <c r="F40" s="299"/>
      <c r="G40" s="300"/>
      <c r="H40" s="95"/>
      <c r="I40" s="95"/>
      <c r="J40" s="95"/>
      <c r="K40" s="95"/>
      <c r="L40" s="95"/>
      <c r="M40" s="95"/>
      <c r="N40" s="95"/>
      <c r="O40" s="95"/>
      <c r="P40" s="95"/>
      <c r="Q40" s="95"/>
      <c r="R40" s="95"/>
      <c r="S40" s="95"/>
      <c r="T40" s="95"/>
      <c r="U40" s="95"/>
      <c r="V40" s="95"/>
      <c r="W40" s="95"/>
      <c r="X40" s="95"/>
      <c r="Y40" s="95"/>
      <c r="Z40" s="95"/>
      <c r="AA40" s="95"/>
      <c r="AB40" s="95"/>
      <c r="AC40" s="95"/>
      <c r="AD40" s="95"/>
      <c r="AE40" s="95"/>
      <c r="AF40" s="95"/>
      <c r="AG40" s="95"/>
      <c r="AH40" s="95"/>
      <c r="AI40" s="95"/>
      <c r="AJ40" s="95"/>
      <c r="AK40" s="95"/>
      <c r="AL40" s="95"/>
      <c r="AM40" s="95"/>
      <c r="AN40" s="95"/>
      <c r="AO40" s="95"/>
      <c r="AP40" s="95"/>
      <c r="AQ40" s="95"/>
      <c r="AR40" s="95"/>
      <c r="AS40" s="95"/>
      <c r="AT40" s="95"/>
      <c r="AU40" s="95"/>
      <c r="AV40" s="95"/>
      <c r="AW40" s="95"/>
      <c r="AX40" s="95"/>
      <c r="AY40" s="95"/>
      <c r="AZ40" s="95"/>
      <c r="BA40" s="95"/>
      <c r="BB40" s="95"/>
      <c r="BC40" s="95"/>
      <c r="BD40" s="95"/>
      <c r="BE40" s="95"/>
      <c r="BF40" s="95"/>
      <c r="BG40" s="95"/>
      <c r="BH40" s="95"/>
      <c r="BI40" s="95"/>
      <c r="BJ40" s="95"/>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c r="DJ40" s="95"/>
      <c r="DK40" s="95"/>
      <c r="DL40" s="95"/>
      <c r="DM40" s="95"/>
      <c r="DN40" s="95"/>
      <c r="DO40" s="95"/>
      <c r="DP40" s="95"/>
      <c r="DQ40" s="95"/>
      <c r="DR40" s="95"/>
      <c r="DS40" s="95"/>
      <c r="DT40" s="95"/>
      <c r="DU40" s="95"/>
      <c r="DV40" s="95"/>
      <c r="DW40" s="95"/>
      <c r="DX40" s="95"/>
      <c r="DY40" s="95"/>
      <c r="DZ40" s="95"/>
      <c r="EA40" s="95"/>
      <c r="EB40" s="95"/>
      <c r="EC40" s="95"/>
      <c r="ED40" s="95"/>
      <c r="EE40" s="95"/>
      <c r="EF40" s="95"/>
      <c r="EG40" s="95"/>
      <c r="EH40" s="95"/>
      <c r="EI40" s="95"/>
      <c r="EJ40" s="95"/>
      <c r="EK40" s="95"/>
      <c r="EL40" s="95"/>
      <c r="EM40" s="95"/>
      <c r="EN40" s="95"/>
      <c r="EO40" s="95"/>
      <c r="EP40" s="95"/>
      <c r="EQ40" s="95"/>
      <c r="ER40" s="95"/>
      <c r="ES40" s="95"/>
      <c r="ET40" s="95"/>
      <c r="EU40" s="95"/>
      <c r="EV40" s="95"/>
      <c r="EW40" s="95"/>
      <c r="EX40" s="95"/>
      <c r="EY40" s="95"/>
      <c r="EZ40" s="95"/>
      <c r="FA40" s="95"/>
      <c r="FB40" s="95"/>
      <c r="FC40" s="95"/>
      <c r="FD40" s="95"/>
      <c r="FE40" s="95"/>
      <c r="FF40" s="95"/>
      <c r="FG40" s="95"/>
      <c r="FH40" s="95"/>
      <c r="FI40" s="95"/>
      <c r="FJ40" s="95"/>
      <c r="FK40" s="95"/>
      <c r="FL40" s="95"/>
      <c r="FM40" s="95"/>
      <c r="FN40" s="95"/>
      <c r="FO40" s="95"/>
      <c r="FP40" s="95"/>
      <c r="FQ40" s="95"/>
      <c r="FR40" s="95"/>
      <c r="FS40" s="95"/>
      <c r="FT40" s="95"/>
      <c r="FU40" s="95"/>
      <c r="FV40" s="95"/>
      <c r="FW40" s="95"/>
      <c r="FX40" s="95"/>
      <c r="FY40" s="95"/>
      <c r="FZ40" s="95"/>
      <c r="GA40" s="95"/>
      <c r="GB40" s="95"/>
      <c r="GC40" s="95"/>
      <c r="GD40" s="95"/>
      <c r="GE40" s="95"/>
      <c r="GF40" s="95"/>
      <c r="GG40" s="95"/>
      <c r="GH40" s="95"/>
      <c r="GI40" s="95"/>
      <c r="GJ40" s="95"/>
      <c r="GK40" s="95"/>
      <c r="GL40" s="95"/>
      <c r="GM40" s="95"/>
      <c r="GN40" s="95"/>
      <c r="GO40" s="95"/>
      <c r="GP40" s="95"/>
      <c r="GQ40" s="95"/>
      <c r="GR40" s="95"/>
      <c r="GS40" s="95"/>
      <c r="GT40" s="95"/>
      <c r="GU40" s="95"/>
      <c r="GV40" s="95"/>
      <c r="GW40" s="95"/>
      <c r="GX40" s="95"/>
      <c r="GY40" s="95"/>
      <c r="GZ40" s="95"/>
      <c r="HA40" s="95"/>
      <c r="HB40" s="95"/>
      <c r="HC40" s="95"/>
      <c r="HD40" s="95"/>
      <c r="HE40" s="95"/>
      <c r="HF40" s="95"/>
      <c r="HG40" s="95"/>
      <c r="HH40" s="95"/>
      <c r="HI40" s="95"/>
      <c r="HJ40" s="95"/>
      <c r="HK40" s="95"/>
      <c r="HL40" s="95"/>
      <c r="HM40" s="95"/>
      <c r="HN40" s="95"/>
      <c r="HO40" s="95"/>
      <c r="HP40" s="95"/>
      <c r="HQ40" s="95"/>
      <c r="HR40" s="95"/>
      <c r="HS40" s="95"/>
      <c r="HT40" s="95"/>
      <c r="HU40" s="95"/>
      <c r="HV40" s="95"/>
      <c r="HW40" s="95"/>
      <c r="HX40" s="95"/>
      <c r="HY40" s="95"/>
      <c r="HZ40" s="95"/>
      <c r="IA40" s="95"/>
      <c r="IB40" s="95"/>
      <c r="IC40" s="95"/>
      <c r="ID40" s="95"/>
      <c r="IE40" s="95"/>
      <c r="IF40" s="95"/>
      <c r="IG40" s="95"/>
      <c r="IH40" s="95"/>
      <c r="II40" s="95"/>
      <c r="IJ40" s="95"/>
    </row>
    <row r="41" spans="1:244">
      <c r="A41" s="155"/>
      <c r="B41" s="156"/>
      <c r="D41" s="157"/>
      <c r="E41" s="92"/>
      <c r="F41" s="92"/>
      <c r="G41" s="94"/>
    </row>
    <row r="42" spans="1:244" ht="12.75" customHeight="1">
      <c r="A42" s="155" t="s">
        <v>53</v>
      </c>
      <c r="B42" s="156" t="str">
        <f>B442</f>
        <v>TELECOMMUNICATION NETWORK</v>
      </c>
      <c r="D42" s="157" t="s">
        <v>143</v>
      </c>
      <c r="E42" s="298"/>
      <c r="F42" s="299"/>
      <c r="G42" s="300"/>
      <c r="H42" s="95"/>
      <c r="I42" s="95"/>
      <c r="J42" s="95"/>
      <c r="K42" s="95"/>
      <c r="L42" s="95"/>
      <c r="M42" s="95"/>
      <c r="N42" s="95"/>
      <c r="O42" s="95"/>
      <c r="P42" s="95"/>
      <c r="Q42" s="95"/>
      <c r="R42" s="95"/>
      <c r="S42" s="95"/>
      <c r="T42" s="95"/>
      <c r="U42" s="95"/>
      <c r="V42" s="95"/>
      <c r="W42" s="95"/>
      <c r="X42" s="95"/>
      <c r="Y42" s="95"/>
      <c r="Z42" s="95"/>
      <c r="AA42" s="95"/>
      <c r="AB42" s="95"/>
      <c r="AC42" s="95"/>
      <c r="AD42" s="95"/>
      <c r="AE42" s="95"/>
      <c r="AF42" s="95"/>
      <c r="AG42" s="95"/>
      <c r="AH42" s="95"/>
      <c r="AI42" s="95"/>
      <c r="AJ42" s="95"/>
      <c r="AK42" s="95"/>
      <c r="AL42" s="95"/>
      <c r="AM42" s="95"/>
      <c r="AN42" s="95"/>
      <c r="AO42" s="95"/>
      <c r="AP42" s="95"/>
      <c r="AQ42" s="95"/>
      <c r="AR42" s="95"/>
      <c r="AS42" s="95"/>
      <c r="AT42" s="95"/>
      <c r="AU42" s="95"/>
      <c r="AV42" s="95"/>
      <c r="AW42" s="95"/>
      <c r="AX42" s="95"/>
      <c r="AY42" s="95"/>
      <c r="AZ42" s="95"/>
      <c r="BA42" s="95"/>
      <c r="BB42" s="95"/>
      <c r="BC42" s="95"/>
      <c r="BD42" s="95"/>
      <c r="BE42" s="95"/>
      <c r="BF42" s="95"/>
      <c r="BG42" s="95"/>
      <c r="BH42" s="95"/>
      <c r="BI42" s="95"/>
      <c r="BJ42" s="95"/>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c r="DJ42" s="95"/>
      <c r="DK42" s="95"/>
      <c r="DL42" s="95"/>
      <c r="DM42" s="95"/>
      <c r="DN42" s="95"/>
      <c r="DO42" s="95"/>
      <c r="DP42" s="95"/>
      <c r="DQ42" s="95"/>
      <c r="DR42" s="95"/>
      <c r="DS42" s="95"/>
      <c r="DT42" s="95"/>
      <c r="DU42" s="95"/>
      <c r="DV42" s="95"/>
      <c r="DW42" s="95"/>
      <c r="DX42" s="95"/>
      <c r="DY42" s="95"/>
      <c r="DZ42" s="95"/>
      <c r="EA42" s="95"/>
      <c r="EB42" s="95"/>
      <c r="EC42" s="95"/>
      <c r="ED42" s="95"/>
      <c r="EE42" s="95"/>
      <c r="EF42" s="95"/>
      <c r="EG42" s="95"/>
      <c r="EH42" s="95"/>
      <c r="EI42" s="95"/>
      <c r="EJ42" s="95"/>
      <c r="EK42" s="95"/>
      <c r="EL42" s="95"/>
      <c r="EM42" s="95"/>
      <c r="EN42" s="95"/>
      <c r="EO42" s="95"/>
      <c r="EP42" s="95"/>
      <c r="EQ42" s="95"/>
      <c r="ER42" s="95"/>
      <c r="ES42" s="95"/>
      <c r="ET42" s="95"/>
      <c r="EU42" s="95"/>
      <c r="EV42" s="95"/>
      <c r="EW42" s="95"/>
      <c r="EX42" s="95"/>
      <c r="EY42" s="95"/>
      <c r="EZ42" s="95"/>
      <c r="FA42" s="95"/>
      <c r="FB42" s="95"/>
      <c r="FC42" s="95"/>
      <c r="FD42" s="95"/>
      <c r="FE42" s="95"/>
      <c r="FF42" s="95"/>
      <c r="FG42" s="95"/>
      <c r="FH42" s="95"/>
      <c r="FI42" s="95"/>
      <c r="FJ42" s="95"/>
      <c r="FK42" s="95"/>
      <c r="FL42" s="95"/>
      <c r="FM42" s="95"/>
      <c r="FN42" s="95"/>
      <c r="FO42" s="95"/>
      <c r="FP42" s="95"/>
      <c r="FQ42" s="95"/>
      <c r="FR42" s="95"/>
      <c r="FS42" s="95"/>
      <c r="FT42" s="95"/>
      <c r="FU42" s="95"/>
      <c r="FV42" s="95"/>
      <c r="FW42" s="95"/>
      <c r="FX42" s="95"/>
      <c r="FY42" s="95"/>
      <c r="FZ42" s="95"/>
      <c r="GA42" s="95"/>
      <c r="GB42" s="95"/>
      <c r="GC42" s="95"/>
      <c r="GD42" s="95"/>
      <c r="GE42" s="95"/>
      <c r="GF42" s="95"/>
      <c r="GG42" s="95"/>
      <c r="GH42" s="95"/>
      <c r="GI42" s="95"/>
      <c r="GJ42" s="95"/>
      <c r="GK42" s="95"/>
      <c r="GL42" s="95"/>
      <c r="GM42" s="95"/>
      <c r="GN42" s="95"/>
      <c r="GO42" s="95"/>
      <c r="GP42" s="95"/>
      <c r="GQ42" s="95"/>
      <c r="GR42" s="95"/>
      <c r="GS42" s="95"/>
      <c r="GT42" s="95"/>
      <c r="GU42" s="95"/>
      <c r="GV42" s="95"/>
      <c r="GW42" s="95"/>
      <c r="GX42" s="95"/>
      <c r="GY42" s="95"/>
      <c r="GZ42" s="95"/>
      <c r="HA42" s="95"/>
      <c r="HB42" s="95"/>
      <c r="HC42" s="95"/>
      <c r="HD42" s="95"/>
      <c r="HE42" s="95"/>
      <c r="HF42" s="95"/>
      <c r="HG42" s="95"/>
      <c r="HH42" s="95"/>
      <c r="HI42" s="95"/>
      <c r="HJ42" s="95"/>
      <c r="HK42" s="95"/>
      <c r="HL42" s="95"/>
      <c r="HM42" s="95"/>
      <c r="HN42" s="95"/>
      <c r="HO42" s="95"/>
      <c r="HP42" s="95"/>
      <c r="HQ42" s="95"/>
      <c r="HR42" s="95"/>
      <c r="HS42" s="95"/>
      <c r="HT42" s="95"/>
      <c r="HU42" s="95"/>
      <c r="HV42" s="95"/>
      <c r="HW42" s="95"/>
      <c r="HX42" s="95"/>
      <c r="HY42" s="95"/>
      <c r="HZ42" s="95"/>
      <c r="IA42" s="95"/>
      <c r="IB42" s="95"/>
      <c r="IC42" s="95"/>
      <c r="ID42" s="95"/>
      <c r="IE42" s="95"/>
      <c r="IF42" s="95"/>
      <c r="IG42" s="95"/>
      <c r="IH42" s="95"/>
      <c r="II42" s="95"/>
      <c r="IJ42" s="95"/>
    </row>
    <row r="43" spans="1:244">
      <c r="A43" s="155"/>
      <c r="B43" s="156"/>
      <c r="D43" s="157"/>
      <c r="E43" s="92"/>
      <c r="F43" s="92"/>
      <c r="G43" s="94"/>
    </row>
    <row r="44" spans="1:244" ht="12.75" customHeight="1">
      <c r="A44" s="155" t="s">
        <v>54</v>
      </c>
      <c r="B44" s="156" t="str">
        <f>B451</f>
        <v>FIREFIGHTING EQUIPMENT</v>
      </c>
      <c r="D44" s="157" t="s">
        <v>143</v>
      </c>
      <c r="E44" s="298"/>
      <c r="F44" s="299"/>
      <c r="G44" s="300"/>
      <c r="H44" s="95"/>
      <c r="I44" s="95"/>
      <c r="J44" s="95"/>
      <c r="K44" s="95"/>
      <c r="L44" s="95"/>
      <c r="M44" s="95"/>
      <c r="N44" s="95"/>
      <c r="O44" s="95"/>
      <c r="P44" s="95"/>
      <c r="Q44" s="95"/>
      <c r="R44" s="95"/>
      <c r="S44" s="95"/>
      <c r="T44" s="95"/>
      <c r="U44" s="95"/>
      <c r="V44" s="95"/>
      <c r="W44" s="95"/>
      <c r="X44" s="95"/>
      <c r="Y44" s="95"/>
      <c r="Z44" s="95"/>
      <c r="AA44" s="95"/>
      <c r="AB44" s="95"/>
      <c r="AC44" s="95"/>
      <c r="AD44" s="95"/>
      <c r="AE44" s="95"/>
      <c r="AF44" s="95"/>
      <c r="AG44" s="95"/>
      <c r="AH44" s="95"/>
      <c r="AI44" s="95"/>
      <c r="AJ44" s="95"/>
      <c r="AK44" s="95"/>
      <c r="AL44" s="95"/>
      <c r="AM44" s="95"/>
      <c r="AN44" s="95"/>
      <c r="AO44" s="95"/>
      <c r="AP44" s="95"/>
      <c r="AQ44" s="95"/>
      <c r="AR44" s="95"/>
      <c r="AS44" s="95"/>
      <c r="AT44" s="95"/>
      <c r="AU44" s="95"/>
      <c r="AV44" s="95"/>
      <c r="AW44" s="95"/>
      <c r="AX44" s="95"/>
      <c r="AY44" s="95"/>
      <c r="AZ44" s="95"/>
      <c r="BA44" s="95"/>
      <c r="BB44" s="95"/>
      <c r="BC44" s="95"/>
      <c r="BD44" s="95"/>
      <c r="BE44" s="95"/>
      <c r="BF44" s="95"/>
      <c r="BG44" s="95"/>
      <c r="BH44" s="95"/>
      <c r="BI44" s="95"/>
      <c r="BJ44" s="95"/>
      <c r="BK44" s="95"/>
      <c r="BL44" s="95"/>
      <c r="BM44" s="95"/>
      <c r="BN44" s="95"/>
      <c r="BO44" s="95"/>
      <c r="BP44" s="95"/>
      <c r="BQ44" s="95"/>
      <c r="BR44" s="95"/>
      <c r="BS44" s="95"/>
      <c r="BT44" s="95"/>
      <c r="BU44" s="95"/>
      <c r="BV44" s="95"/>
      <c r="BW44" s="95"/>
      <c r="BX44" s="95"/>
      <c r="BY44" s="95"/>
      <c r="BZ44" s="95"/>
      <c r="CA44" s="95"/>
      <c r="CB44" s="95"/>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c r="DJ44" s="95"/>
      <c r="DK44" s="95"/>
      <c r="DL44" s="95"/>
      <c r="DM44" s="95"/>
      <c r="DN44" s="95"/>
      <c r="DO44" s="95"/>
      <c r="DP44" s="95"/>
      <c r="DQ44" s="95"/>
      <c r="DR44" s="95"/>
      <c r="DS44" s="95"/>
      <c r="DT44" s="95"/>
      <c r="DU44" s="95"/>
      <c r="DV44" s="95"/>
      <c r="DW44" s="95"/>
      <c r="DX44" s="95"/>
      <c r="DY44" s="95"/>
      <c r="DZ44" s="95"/>
      <c r="EA44" s="95"/>
      <c r="EB44" s="95"/>
      <c r="EC44" s="95"/>
      <c r="ED44" s="95"/>
      <c r="EE44" s="95"/>
      <c r="EF44" s="95"/>
      <c r="EG44" s="95"/>
      <c r="EH44" s="95"/>
      <c r="EI44" s="95"/>
      <c r="EJ44" s="95"/>
      <c r="EK44" s="95"/>
      <c r="EL44" s="95"/>
      <c r="EM44" s="95"/>
      <c r="EN44" s="95"/>
      <c r="EO44" s="95"/>
      <c r="EP44" s="95"/>
      <c r="EQ44" s="95"/>
      <c r="ER44" s="95"/>
      <c r="ES44" s="95"/>
      <c r="ET44" s="95"/>
      <c r="EU44" s="95"/>
      <c r="EV44" s="95"/>
      <c r="EW44" s="95"/>
      <c r="EX44" s="95"/>
      <c r="EY44" s="95"/>
      <c r="EZ44" s="95"/>
      <c r="FA44" s="95"/>
      <c r="FB44" s="95"/>
      <c r="FC44" s="95"/>
      <c r="FD44" s="95"/>
      <c r="FE44" s="95"/>
      <c r="FF44" s="95"/>
      <c r="FG44" s="95"/>
      <c r="FH44" s="95"/>
      <c r="FI44" s="95"/>
      <c r="FJ44" s="95"/>
      <c r="FK44" s="95"/>
      <c r="FL44" s="95"/>
      <c r="FM44" s="95"/>
      <c r="FN44" s="95"/>
      <c r="FO44" s="95"/>
      <c r="FP44" s="95"/>
      <c r="FQ44" s="95"/>
      <c r="FR44" s="95"/>
      <c r="FS44" s="95"/>
      <c r="FT44" s="95"/>
      <c r="FU44" s="95"/>
      <c r="FV44" s="95"/>
      <c r="FW44" s="95"/>
      <c r="FX44" s="95"/>
      <c r="FY44" s="95"/>
      <c r="FZ44" s="95"/>
      <c r="GA44" s="95"/>
      <c r="GB44" s="95"/>
      <c r="GC44" s="95"/>
      <c r="GD44" s="95"/>
      <c r="GE44" s="95"/>
      <c r="GF44" s="95"/>
      <c r="GG44" s="95"/>
      <c r="GH44" s="95"/>
      <c r="GI44" s="95"/>
      <c r="GJ44" s="95"/>
      <c r="GK44" s="95"/>
      <c r="GL44" s="95"/>
      <c r="GM44" s="95"/>
      <c r="GN44" s="95"/>
      <c r="GO44" s="95"/>
      <c r="GP44" s="95"/>
      <c r="GQ44" s="95"/>
      <c r="GR44" s="95"/>
      <c r="GS44" s="95"/>
      <c r="GT44" s="95"/>
      <c r="GU44" s="95"/>
      <c r="GV44" s="95"/>
      <c r="GW44" s="95"/>
      <c r="GX44" s="95"/>
      <c r="GY44" s="95"/>
      <c r="GZ44" s="95"/>
      <c r="HA44" s="95"/>
      <c r="HB44" s="95"/>
      <c r="HC44" s="95"/>
      <c r="HD44" s="95"/>
      <c r="HE44" s="95"/>
      <c r="HF44" s="95"/>
      <c r="HG44" s="95"/>
      <c r="HH44" s="95"/>
      <c r="HI44" s="95"/>
      <c r="HJ44" s="95"/>
      <c r="HK44" s="95"/>
      <c r="HL44" s="95"/>
      <c r="HM44" s="95"/>
      <c r="HN44" s="95"/>
      <c r="HO44" s="95"/>
      <c r="HP44" s="95"/>
      <c r="HQ44" s="95"/>
      <c r="HR44" s="95"/>
      <c r="HS44" s="95"/>
      <c r="HT44" s="95"/>
      <c r="HU44" s="95"/>
      <c r="HV44" s="95"/>
      <c r="HW44" s="95"/>
      <c r="HX44" s="95"/>
      <c r="HY44" s="95"/>
      <c r="HZ44" s="95"/>
      <c r="IA44" s="95"/>
      <c r="IB44" s="95"/>
      <c r="IC44" s="95"/>
      <c r="ID44" s="95"/>
      <c r="IE44" s="95"/>
      <c r="IF44" s="95"/>
      <c r="IG44" s="95"/>
      <c r="IH44" s="95"/>
      <c r="II44" s="95"/>
      <c r="IJ44" s="95"/>
    </row>
    <row r="45" spans="1:244">
      <c r="A45" s="155"/>
      <c r="B45" s="156"/>
      <c r="D45" s="157"/>
      <c r="E45" s="92"/>
      <c r="F45" s="92"/>
      <c r="G45" s="94"/>
    </row>
    <row r="46" spans="1:244" ht="12.75" customHeight="1">
      <c r="A46" s="155" t="s">
        <v>55</v>
      </c>
      <c r="B46" s="156" t="str">
        <f>B460</f>
        <v>SANITARY &amp; WATER SUPPLY</v>
      </c>
      <c r="D46" s="157" t="s">
        <v>143</v>
      </c>
      <c r="E46" s="298"/>
      <c r="F46" s="299"/>
      <c r="G46" s="300"/>
    </row>
    <row r="47" spans="1:244">
      <c r="A47" s="155"/>
      <c r="B47" s="156"/>
      <c r="D47" s="157"/>
      <c r="E47" s="92"/>
      <c r="F47" s="92"/>
      <c r="G47" s="94"/>
    </row>
    <row r="48" spans="1:244" ht="12.75" customHeight="1">
      <c r="A48" s="155" t="s">
        <v>125</v>
      </c>
      <c r="B48" s="156" t="str">
        <f>B491</f>
        <v>FURNITURE &amp; KITCHENWARE</v>
      </c>
      <c r="D48" s="157" t="s">
        <v>143</v>
      </c>
      <c r="E48" s="298"/>
      <c r="F48" s="299"/>
      <c r="G48" s="300"/>
      <c r="H48" s="95"/>
      <c r="I48" s="95"/>
      <c r="J48" s="95"/>
      <c r="K48" s="95"/>
      <c r="L48" s="95"/>
      <c r="M48" s="95"/>
      <c r="N48" s="95"/>
      <c r="O48" s="95"/>
      <c r="P48" s="95"/>
      <c r="Q48" s="95"/>
      <c r="R48" s="95"/>
      <c r="S48" s="95"/>
      <c r="T48" s="95"/>
      <c r="U48" s="95"/>
      <c r="V48" s="95"/>
      <c r="W48" s="95"/>
      <c r="X48" s="95"/>
      <c r="Y48" s="95"/>
      <c r="Z48" s="95"/>
      <c r="AA48" s="95"/>
      <c r="AB48" s="95"/>
      <c r="AC48" s="95"/>
      <c r="AD48" s="95"/>
      <c r="AE48" s="95"/>
      <c r="AF48" s="95"/>
      <c r="AG48" s="95"/>
      <c r="AH48" s="95"/>
      <c r="AI48" s="95"/>
      <c r="AJ48" s="95"/>
      <c r="AK48" s="95"/>
      <c r="AL48" s="95"/>
      <c r="AM48" s="95"/>
      <c r="AN48" s="95"/>
      <c r="AO48" s="95"/>
      <c r="AP48" s="95"/>
      <c r="AQ48" s="95"/>
      <c r="AR48" s="95"/>
      <c r="AS48" s="95"/>
      <c r="AT48" s="95"/>
      <c r="AU48" s="95"/>
      <c r="AV48" s="95"/>
      <c r="AW48" s="95"/>
      <c r="AX48" s="95"/>
      <c r="AY48" s="95"/>
      <c r="AZ48" s="95"/>
      <c r="BA48" s="95"/>
      <c r="BB48" s="95"/>
      <c r="BC48" s="95"/>
      <c r="BD48" s="95"/>
      <c r="BE48" s="95"/>
      <c r="BF48" s="95"/>
      <c r="BG48" s="95"/>
      <c r="BH48" s="95"/>
      <c r="BI48" s="95"/>
      <c r="BJ48" s="95"/>
      <c r="BK48" s="95"/>
      <c r="BL48" s="95"/>
      <c r="BM48" s="95"/>
      <c r="BN48" s="95"/>
      <c r="BO48" s="95"/>
      <c r="BP48" s="95"/>
      <c r="BQ48" s="95"/>
      <c r="BR48" s="95"/>
      <c r="BS48" s="95"/>
      <c r="BT48" s="95"/>
      <c r="BU48" s="95"/>
      <c r="BV48" s="95"/>
      <c r="BW48" s="95"/>
      <c r="BX48" s="95"/>
      <c r="BY48" s="95"/>
      <c r="BZ48" s="95"/>
      <c r="CA48" s="95"/>
      <c r="CB48" s="95"/>
      <c r="CC48" s="95"/>
      <c r="CD48" s="95"/>
      <c r="CE48" s="95"/>
      <c r="CF48" s="95"/>
      <c r="CG48" s="95"/>
      <c r="CH48" s="95"/>
      <c r="CI48" s="95"/>
      <c r="CJ48" s="95"/>
      <c r="CK48" s="95"/>
      <c r="CL48" s="95"/>
      <c r="CM48" s="95"/>
      <c r="CN48" s="95"/>
      <c r="CO48" s="95"/>
      <c r="CP48" s="95"/>
      <c r="CQ48" s="95"/>
      <c r="CR48" s="95"/>
      <c r="CS48" s="95"/>
      <c r="CT48" s="95"/>
      <c r="CU48" s="95"/>
      <c r="CV48" s="95"/>
      <c r="CW48" s="95"/>
      <c r="CX48" s="95"/>
      <c r="CY48" s="95"/>
      <c r="CZ48" s="95"/>
      <c r="DA48" s="95"/>
      <c r="DB48" s="95"/>
      <c r="DC48" s="95"/>
      <c r="DD48" s="95"/>
      <c r="DE48" s="95"/>
      <c r="DF48" s="95"/>
      <c r="DG48" s="95"/>
      <c r="DH48" s="95"/>
      <c r="DI48" s="95"/>
      <c r="DJ48" s="95"/>
      <c r="DK48" s="95"/>
      <c r="DL48" s="95"/>
      <c r="DM48" s="95"/>
      <c r="DN48" s="95"/>
      <c r="DO48" s="95"/>
      <c r="DP48" s="95"/>
      <c r="DQ48" s="95"/>
      <c r="DR48" s="95"/>
      <c r="DS48" s="95"/>
      <c r="DT48" s="95"/>
      <c r="DU48" s="95"/>
      <c r="DV48" s="95"/>
      <c r="DW48" s="95"/>
      <c r="DX48" s="95"/>
      <c r="DY48" s="95"/>
      <c r="DZ48" s="95"/>
      <c r="EA48" s="95"/>
      <c r="EB48" s="95"/>
      <c r="EC48" s="95"/>
      <c r="ED48" s="95"/>
      <c r="EE48" s="95"/>
      <c r="EF48" s="95"/>
      <c r="EG48" s="95"/>
      <c r="EH48" s="95"/>
      <c r="EI48" s="95"/>
      <c r="EJ48" s="95"/>
      <c r="EK48" s="95"/>
      <c r="EL48" s="95"/>
      <c r="EM48" s="95"/>
      <c r="EN48" s="95"/>
      <c r="EO48" s="95"/>
      <c r="EP48" s="95"/>
      <c r="EQ48" s="95"/>
      <c r="ER48" s="95"/>
      <c r="ES48" s="95"/>
      <c r="ET48" s="95"/>
      <c r="EU48" s="95"/>
      <c r="EV48" s="95"/>
      <c r="EW48" s="95"/>
      <c r="EX48" s="95"/>
      <c r="EY48" s="95"/>
      <c r="EZ48" s="95"/>
      <c r="FA48" s="95"/>
      <c r="FB48" s="95"/>
      <c r="FC48" s="95"/>
      <c r="FD48" s="95"/>
      <c r="FE48" s="95"/>
      <c r="FF48" s="95"/>
      <c r="FG48" s="95"/>
      <c r="FH48" s="95"/>
      <c r="FI48" s="95"/>
      <c r="FJ48" s="95"/>
      <c r="FK48" s="95"/>
      <c r="FL48" s="95"/>
      <c r="FM48" s="95"/>
      <c r="FN48" s="95"/>
      <c r="FO48" s="95"/>
      <c r="FP48" s="95"/>
      <c r="FQ48" s="95"/>
      <c r="FR48" s="95"/>
      <c r="FS48" s="95"/>
      <c r="FT48" s="95"/>
      <c r="FU48" s="95"/>
      <c r="FV48" s="95"/>
      <c r="FW48" s="95"/>
      <c r="FX48" s="95"/>
      <c r="FY48" s="95"/>
      <c r="FZ48" s="95"/>
      <c r="GA48" s="95"/>
      <c r="GB48" s="95"/>
      <c r="GC48" s="95"/>
      <c r="GD48" s="95"/>
      <c r="GE48" s="95"/>
      <c r="GF48" s="95"/>
      <c r="GG48" s="95"/>
      <c r="GH48" s="95"/>
      <c r="GI48" s="95"/>
      <c r="GJ48" s="95"/>
      <c r="GK48" s="95"/>
      <c r="GL48" s="95"/>
      <c r="GM48" s="95"/>
      <c r="GN48" s="95"/>
      <c r="GO48" s="95"/>
      <c r="GP48" s="95"/>
      <c r="GQ48" s="95"/>
      <c r="GR48" s="95"/>
      <c r="GS48" s="95"/>
      <c r="GT48" s="95"/>
      <c r="GU48" s="95"/>
      <c r="GV48" s="95"/>
      <c r="GW48" s="95"/>
      <c r="GX48" s="95"/>
      <c r="GY48" s="95"/>
      <c r="GZ48" s="95"/>
      <c r="HA48" s="95"/>
      <c r="HB48" s="95"/>
      <c r="HC48" s="95"/>
      <c r="HD48" s="95"/>
      <c r="HE48" s="95"/>
      <c r="HF48" s="95"/>
      <c r="HG48" s="95"/>
      <c r="HH48" s="95"/>
      <c r="HI48" s="95"/>
      <c r="HJ48" s="95"/>
      <c r="HK48" s="95"/>
      <c r="HL48" s="95"/>
      <c r="HM48" s="95"/>
      <c r="HN48" s="95"/>
      <c r="HO48" s="95"/>
      <c r="HP48" s="95"/>
      <c r="HQ48" s="95"/>
      <c r="HR48" s="95"/>
      <c r="HS48" s="95"/>
      <c r="HT48" s="95"/>
      <c r="HU48" s="95"/>
      <c r="HV48" s="95"/>
      <c r="HW48" s="95"/>
      <c r="HX48" s="95"/>
      <c r="HY48" s="95"/>
      <c r="HZ48" s="95"/>
      <c r="IA48" s="95"/>
      <c r="IB48" s="95"/>
      <c r="IC48" s="95"/>
      <c r="ID48" s="95"/>
      <c r="IE48" s="95"/>
      <c r="IF48" s="95"/>
      <c r="IG48" s="95"/>
      <c r="IH48" s="95"/>
      <c r="II48" s="95"/>
      <c r="IJ48" s="95"/>
    </row>
    <row r="49" spans="1:7">
      <c r="A49" s="155"/>
      <c r="B49" s="156"/>
      <c r="D49" s="157"/>
      <c r="E49" s="92"/>
      <c r="F49" s="92"/>
      <c r="G49" s="94"/>
    </row>
    <row r="50" spans="1:7" ht="12.75" customHeight="1">
      <c r="A50" s="155" t="s">
        <v>56</v>
      </c>
      <c r="B50" s="156" t="str">
        <f>B528</f>
        <v>ADDITIONS &amp; OMISSIONS</v>
      </c>
      <c r="D50" s="157" t="s">
        <v>143</v>
      </c>
      <c r="E50" s="298"/>
      <c r="F50" s="299"/>
      <c r="G50" s="300"/>
    </row>
    <row r="51" spans="1:7">
      <c r="A51" s="158"/>
      <c r="B51" s="140"/>
      <c r="D51" s="160"/>
      <c r="E51" s="92"/>
      <c r="F51" s="93"/>
      <c r="G51" s="94"/>
    </row>
    <row r="52" spans="1:7">
      <c r="A52" s="161" t="s">
        <v>380</v>
      </c>
      <c r="D52" s="160" t="s">
        <v>143</v>
      </c>
      <c r="E52" s="301"/>
      <c r="F52" s="302"/>
      <c r="G52" s="303"/>
    </row>
    <row r="53" spans="1:7">
      <c r="A53" s="161"/>
      <c r="B53" s="162"/>
      <c r="C53" s="153"/>
      <c r="D53" s="153"/>
      <c r="E53" s="92"/>
      <c r="F53" s="92"/>
      <c r="G53" s="94"/>
    </row>
    <row r="54" spans="1:7">
      <c r="A54" s="161"/>
      <c r="B54" s="162"/>
      <c r="C54" s="153"/>
      <c r="D54" s="153"/>
      <c r="E54" s="92"/>
      <c r="F54" s="93"/>
      <c r="G54" s="94"/>
    </row>
    <row r="55" spans="1:7">
      <c r="A55" s="161"/>
      <c r="B55" s="162"/>
      <c r="C55" s="153"/>
      <c r="D55" s="153"/>
      <c r="E55" s="92"/>
      <c r="F55" s="93"/>
      <c r="G55" s="94"/>
    </row>
    <row r="56" spans="1:7">
      <c r="A56" s="161"/>
      <c r="B56" s="162"/>
      <c r="C56" s="153"/>
      <c r="D56" s="153"/>
      <c r="E56" s="92"/>
      <c r="F56" s="93"/>
      <c r="G56" s="94"/>
    </row>
    <row r="57" spans="1:7">
      <c r="A57" s="163"/>
      <c r="B57" s="162"/>
      <c r="C57" s="153"/>
      <c r="D57" s="153"/>
      <c r="E57" s="92"/>
      <c r="F57" s="93"/>
      <c r="G57" s="94"/>
    </row>
    <row r="58" spans="1:7">
      <c r="A58" s="163"/>
      <c r="B58" s="162"/>
      <c r="C58" s="153"/>
      <c r="D58" s="153"/>
      <c r="E58" s="92"/>
      <c r="F58" s="93"/>
      <c r="G58" s="94"/>
    </row>
    <row r="59" spans="1:7">
      <c r="A59" s="163"/>
      <c r="B59" s="162"/>
      <c r="C59" s="153"/>
      <c r="D59" s="153"/>
      <c r="E59" s="92"/>
      <c r="F59" s="93"/>
      <c r="G59" s="94"/>
    </row>
    <row r="60" spans="1:7" ht="18.75">
      <c r="A60" s="164" t="s">
        <v>116</v>
      </c>
      <c r="B60" s="43"/>
      <c r="C60" s="138"/>
      <c r="D60" s="139"/>
      <c r="E60" s="79"/>
      <c r="F60" s="80"/>
      <c r="G60" s="78"/>
    </row>
    <row r="61" spans="1:7">
      <c r="A61" s="43" t="s">
        <v>81</v>
      </c>
      <c r="B61" s="140"/>
      <c r="C61" s="138"/>
      <c r="D61" s="139"/>
      <c r="E61" s="77"/>
      <c r="F61" s="81"/>
      <c r="G61" s="78"/>
    </row>
    <row r="62" spans="1:7" s="81" customFormat="1">
      <c r="A62" s="43" t="s">
        <v>82</v>
      </c>
      <c r="B62" s="140"/>
      <c r="C62" s="138"/>
      <c r="D62" s="139"/>
      <c r="E62" s="77"/>
      <c r="G62" s="78"/>
    </row>
    <row r="63" spans="1:7" s="81" customFormat="1">
      <c r="A63" s="43">
        <v>0</v>
      </c>
      <c r="B63" s="140"/>
      <c r="C63" s="138"/>
      <c r="D63" s="139"/>
      <c r="E63" s="77"/>
      <c r="G63" s="78"/>
    </row>
    <row r="64" spans="1:7" s="81" customFormat="1">
      <c r="A64" s="43" t="str">
        <f>A5</f>
        <v>DATE: 27th MAY 2015</v>
      </c>
      <c r="B64" s="140"/>
      <c r="C64" s="138"/>
      <c r="D64" s="139"/>
      <c r="E64" s="77"/>
      <c r="G64" s="78"/>
    </row>
    <row r="65" spans="1:7" s="81" customFormat="1">
      <c r="A65" s="43">
        <v>0</v>
      </c>
      <c r="B65" s="140"/>
      <c r="C65" s="138"/>
      <c r="D65" s="139"/>
      <c r="E65" s="77"/>
      <c r="G65" s="78"/>
    </row>
    <row r="66" spans="1:7" s="81" customFormat="1">
      <c r="A66" s="141" t="s">
        <v>165</v>
      </c>
      <c r="B66" s="140"/>
      <c r="C66" s="142"/>
      <c r="D66" s="139"/>
      <c r="E66" s="82"/>
      <c r="G66" s="78"/>
    </row>
    <row r="67" spans="1:7" s="81" customFormat="1">
      <c r="A67" s="42" t="s">
        <v>144</v>
      </c>
      <c r="B67" s="140"/>
      <c r="C67" s="143"/>
      <c r="D67" s="143"/>
      <c r="E67" s="83"/>
      <c r="G67" s="78"/>
    </row>
    <row r="68" spans="1:7" s="81" customFormat="1">
      <c r="A68" s="43" t="s">
        <v>597</v>
      </c>
      <c r="B68" s="140"/>
      <c r="C68" s="144"/>
      <c r="D68" s="139"/>
      <c r="E68" s="77"/>
      <c r="F68" s="81" t="s">
        <v>1</v>
      </c>
      <c r="G68" s="78" t="s">
        <v>1</v>
      </c>
    </row>
    <row r="69" spans="1:7" s="81" customFormat="1">
      <c r="A69" s="145"/>
      <c r="B69" s="140"/>
      <c r="C69" s="144"/>
      <c r="D69" s="139"/>
      <c r="E69" s="77"/>
      <c r="G69" s="78"/>
    </row>
    <row r="70" spans="1:7" s="81" customFormat="1">
      <c r="A70" s="165"/>
      <c r="B70" s="43"/>
      <c r="C70" s="139"/>
      <c r="D70" s="138"/>
      <c r="E70" s="79"/>
      <c r="F70" s="80"/>
      <c r="G70" s="94"/>
    </row>
    <row r="71" spans="1:7" s="81" customFormat="1" ht="18.75">
      <c r="A71" s="166" t="s">
        <v>29</v>
      </c>
      <c r="B71" s="166"/>
      <c r="C71" s="166"/>
      <c r="D71" s="166"/>
      <c r="E71" s="89"/>
      <c r="F71" s="89"/>
      <c r="G71" s="89"/>
    </row>
    <row r="72" spans="1:7" s="94" customFormat="1">
      <c r="A72" s="150"/>
      <c r="B72" s="150"/>
      <c r="C72" s="151"/>
      <c r="D72" s="151"/>
      <c r="E72" s="90"/>
      <c r="F72" s="90"/>
      <c r="G72" s="90"/>
    </row>
    <row r="73" spans="1:7" s="94" customFormat="1">
      <c r="A73" s="167" t="s">
        <v>33</v>
      </c>
      <c r="B73" s="167" t="s">
        <v>34</v>
      </c>
      <c r="C73" s="168" t="s">
        <v>35</v>
      </c>
      <c r="D73" s="169" t="s">
        <v>36</v>
      </c>
      <c r="E73" s="97" t="s">
        <v>37</v>
      </c>
      <c r="F73" s="97" t="s">
        <v>38</v>
      </c>
      <c r="G73" s="96" t="s">
        <v>39</v>
      </c>
    </row>
    <row r="74" spans="1:7" s="94" customFormat="1">
      <c r="A74" s="170"/>
      <c r="B74" s="170"/>
      <c r="C74" s="171"/>
      <c r="D74" s="171"/>
      <c r="E74" s="323"/>
      <c r="F74" s="323"/>
      <c r="G74" s="98"/>
    </row>
    <row r="75" spans="1:7" s="94" customFormat="1">
      <c r="A75" s="172"/>
      <c r="B75" s="173" t="s">
        <v>385</v>
      </c>
      <c r="C75" s="174"/>
      <c r="D75" s="174"/>
      <c r="E75" s="305"/>
      <c r="F75" s="305"/>
      <c r="G75" s="99"/>
    </row>
    <row r="76" spans="1:7" s="94" customFormat="1">
      <c r="A76" s="172"/>
      <c r="B76" s="175"/>
      <c r="C76" s="174"/>
      <c r="D76" s="174"/>
      <c r="E76" s="305"/>
      <c r="F76" s="305"/>
      <c r="G76" s="99"/>
    </row>
    <row r="77" spans="1:7" s="94" customFormat="1">
      <c r="A77" s="172" t="s">
        <v>40</v>
      </c>
      <c r="B77" s="176" t="s">
        <v>146</v>
      </c>
      <c r="C77" s="177"/>
      <c r="D77" s="177"/>
      <c r="E77" s="305"/>
      <c r="F77" s="305"/>
      <c r="G77" s="99"/>
    </row>
    <row r="78" spans="1:7" s="94" customFormat="1" ht="48">
      <c r="A78" s="178" t="s">
        <v>8</v>
      </c>
      <c r="B78" s="179" t="s">
        <v>148</v>
      </c>
      <c r="C78" s="180">
        <v>866</v>
      </c>
      <c r="D78" s="180" t="s">
        <v>532</v>
      </c>
      <c r="E78" s="305"/>
      <c r="F78" s="305"/>
      <c r="G78" s="99"/>
    </row>
    <row r="79" spans="1:7" s="94" customFormat="1">
      <c r="A79" s="178"/>
      <c r="B79" s="179"/>
      <c r="C79" s="180"/>
      <c r="D79" s="180"/>
      <c r="E79" s="305"/>
      <c r="F79" s="305"/>
      <c r="G79" s="99"/>
    </row>
    <row r="80" spans="1:7" s="94" customFormat="1">
      <c r="A80" s="172" t="s">
        <v>45</v>
      </c>
      <c r="B80" s="181" t="s">
        <v>147</v>
      </c>
      <c r="C80" s="182"/>
      <c r="D80" s="182"/>
      <c r="E80" s="305"/>
      <c r="F80" s="305"/>
      <c r="G80" s="99"/>
    </row>
    <row r="81" spans="1:7" s="94" customFormat="1" ht="48">
      <c r="A81" s="183"/>
      <c r="B81" s="184" t="s">
        <v>149</v>
      </c>
      <c r="C81" s="185"/>
      <c r="D81" s="185"/>
      <c r="E81" s="305"/>
      <c r="F81" s="305"/>
      <c r="G81" s="99"/>
    </row>
    <row r="82" spans="1:7" s="94" customFormat="1">
      <c r="A82" s="183"/>
      <c r="B82" s="186" t="s">
        <v>402</v>
      </c>
      <c r="C82" s="185"/>
      <c r="D82" s="185"/>
      <c r="E82" s="305"/>
      <c r="F82" s="305"/>
      <c r="G82" s="99"/>
    </row>
    <row r="83" spans="1:7" s="94" customFormat="1">
      <c r="A83" s="183" t="s">
        <v>8</v>
      </c>
      <c r="B83" s="187" t="s">
        <v>257</v>
      </c>
      <c r="C83" s="180">
        <f>2*2*1.05*2</f>
        <v>8.4</v>
      </c>
      <c r="D83" s="185" t="s">
        <v>534</v>
      </c>
      <c r="E83" s="305"/>
      <c r="F83" s="305"/>
      <c r="G83" s="99"/>
    </row>
    <row r="84" spans="1:7" s="94" customFormat="1">
      <c r="A84" s="183" t="s">
        <v>9</v>
      </c>
      <c r="B84" s="187" t="s">
        <v>258</v>
      </c>
      <c r="C84" s="180">
        <f>1.6*1.6*1.05*5</f>
        <v>13.440000000000003</v>
      </c>
      <c r="D84" s="185" t="s">
        <v>534</v>
      </c>
      <c r="E84" s="305"/>
      <c r="F84" s="305"/>
      <c r="G84" s="99"/>
    </row>
    <row r="85" spans="1:7" s="94" customFormat="1">
      <c r="A85" s="183" t="s">
        <v>10</v>
      </c>
      <c r="B85" s="187" t="s">
        <v>259</v>
      </c>
      <c r="C85" s="180">
        <f>1.4*1.4*1.05*4</f>
        <v>8.2319999999999993</v>
      </c>
      <c r="D85" s="185" t="s">
        <v>534</v>
      </c>
      <c r="E85" s="305"/>
      <c r="F85" s="305"/>
      <c r="G85" s="99"/>
    </row>
    <row r="86" spans="1:7" s="94" customFormat="1">
      <c r="A86" s="183" t="s">
        <v>11</v>
      </c>
      <c r="B86" s="187" t="s">
        <v>260</v>
      </c>
      <c r="C86" s="180">
        <f>1.2*1.2*1.05*6</f>
        <v>9.0719999999999992</v>
      </c>
      <c r="D86" s="185" t="s">
        <v>534</v>
      </c>
      <c r="E86" s="305"/>
      <c r="F86" s="305"/>
      <c r="G86" s="99"/>
    </row>
    <row r="87" spans="1:7" s="94" customFormat="1">
      <c r="A87" s="183" t="s">
        <v>12</v>
      </c>
      <c r="B87" s="187" t="s">
        <v>261</v>
      </c>
      <c r="C87" s="180">
        <f>1*1*1.05*5</f>
        <v>5.25</v>
      </c>
      <c r="D87" s="185" t="s">
        <v>534</v>
      </c>
      <c r="E87" s="305"/>
      <c r="F87" s="305"/>
      <c r="G87" s="99"/>
    </row>
    <row r="88" spans="1:7" s="94" customFormat="1">
      <c r="A88" s="183"/>
      <c r="B88" s="186" t="s">
        <v>403</v>
      </c>
      <c r="C88" s="180"/>
      <c r="D88" s="185"/>
      <c r="E88" s="305"/>
      <c r="F88" s="305"/>
      <c r="G88" s="99"/>
    </row>
    <row r="89" spans="1:7" s="94" customFormat="1">
      <c r="A89" s="183" t="s">
        <v>13</v>
      </c>
      <c r="B89" s="187" t="s">
        <v>155</v>
      </c>
      <c r="C89" s="180">
        <f>0.2*0.85*146</f>
        <v>24.82</v>
      </c>
      <c r="D89" s="185" t="s">
        <v>534</v>
      </c>
      <c r="E89" s="305"/>
      <c r="F89" s="305"/>
      <c r="G89" s="99"/>
    </row>
    <row r="90" spans="1:7" s="94" customFormat="1">
      <c r="A90" s="183"/>
      <c r="B90" s="186" t="s">
        <v>186</v>
      </c>
      <c r="C90" s="180"/>
      <c r="D90" s="185"/>
      <c r="E90" s="305"/>
      <c r="F90" s="305"/>
      <c r="G90" s="99"/>
    </row>
    <row r="91" spans="1:7" s="94" customFormat="1">
      <c r="A91" s="183" t="s">
        <v>14</v>
      </c>
      <c r="B91" s="187" t="s">
        <v>408</v>
      </c>
      <c r="C91" s="180">
        <f>1.35*6.05*1.3</f>
        <v>10.617750000000001</v>
      </c>
      <c r="D91" s="185" t="s">
        <v>534</v>
      </c>
      <c r="E91" s="305"/>
      <c r="F91" s="305"/>
      <c r="G91" s="99"/>
    </row>
    <row r="92" spans="1:7" s="94" customFormat="1">
      <c r="A92" s="183"/>
      <c r="B92" s="186"/>
      <c r="C92" s="180"/>
      <c r="D92" s="185"/>
      <c r="E92" s="305"/>
      <c r="F92" s="305"/>
      <c r="G92" s="99"/>
    </row>
    <row r="93" spans="1:7" s="94" customFormat="1" ht="24">
      <c r="A93" s="183"/>
      <c r="B93" s="184" t="s">
        <v>152</v>
      </c>
      <c r="C93" s="180"/>
      <c r="D93" s="185"/>
      <c r="E93" s="305"/>
      <c r="F93" s="305"/>
      <c r="G93" s="99"/>
    </row>
    <row r="94" spans="1:7" s="94" customFormat="1">
      <c r="A94" s="183"/>
      <c r="B94" s="186" t="s">
        <v>402</v>
      </c>
      <c r="C94" s="185"/>
      <c r="D94" s="185"/>
      <c r="E94" s="305"/>
      <c r="F94" s="305"/>
      <c r="G94" s="99"/>
    </row>
    <row r="95" spans="1:7" s="94" customFormat="1">
      <c r="A95" s="183" t="s">
        <v>15</v>
      </c>
      <c r="B95" s="187" t="s">
        <v>257</v>
      </c>
      <c r="C95" s="180">
        <f>2*2*2</f>
        <v>8</v>
      </c>
      <c r="D95" s="185" t="s">
        <v>532</v>
      </c>
      <c r="E95" s="305"/>
      <c r="F95" s="305"/>
      <c r="G95" s="99"/>
    </row>
    <row r="96" spans="1:7" s="94" customFormat="1">
      <c r="A96" s="183" t="s">
        <v>61</v>
      </c>
      <c r="B96" s="187" t="s">
        <v>258</v>
      </c>
      <c r="C96" s="180">
        <f>1.6*1.6*5</f>
        <v>12.800000000000002</v>
      </c>
      <c r="D96" s="185" t="s">
        <v>532</v>
      </c>
      <c r="E96" s="305"/>
      <c r="F96" s="305"/>
      <c r="G96" s="99"/>
    </row>
    <row r="97" spans="1:7" s="94" customFormat="1">
      <c r="A97" s="183" t="s">
        <v>16</v>
      </c>
      <c r="B97" s="187" t="s">
        <v>259</v>
      </c>
      <c r="C97" s="180">
        <f>1.4*1.4*4</f>
        <v>7.839999999999999</v>
      </c>
      <c r="D97" s="185" t="s">
        <v>532</v>
      </c>
      <c r="E97" s="305"/>
      <c r="F97" s="305"/>
      <c r="G97" s="99"/>
    </row>
    <row r="98" spans="1:7" s="94" customFormat="1">
      <c r="A98" s="183" t="s">
        <v>17</v>
      </c>
      <c r="B98" s="187" t="s">
        <v>260</v>
      </c>
      <c r="C98" s="180">
        <f>1.2*1.2*6</f>
        <v>8.64</v>
      </c>
      <c r="D98" s="185" t="s">
        <v>532</v>
      </c>
      <c r="E98" s="305"/>
      <c r="F98" s="305"/>
      <c r="G98" s="99"/>
    </row>
    <row r="99" spans="1:7" s="94" customFormat="1">
      <c r="A99" s="183" t="s">
        <v>18</v>
      </c>
      <c r="B99" s="187" t="s">
        <v>262</v>
      </c>
      <c r="C99" s="180">
        <f>1*1*5</f>
        <v>5</v>
      </c>
      <c r="D99" s="185" t="s">
        <v>532</v>
      </c>
      <c r="E99" s="305"/>
      <c r="F99" s="305"/>
      <c r="G99" s="99"/>
    </row>
    <row r="100" spans="1:7" s="94" customFormat="1">
      <c r="A100" s="183"/>
      <c r="B100" s="186" t="s">
        <v>403</v>
      </c>
      <c r="C100" s="180"/>
      <c r="D100" s="185"/>
      <c r="E100" s="305"/>
      <c r="F100" s="305"/>
      <c r="G100" s="99"/>
    </row>
    <row r="101" spans="1:7" s="94" customFormat="1">
      <c r="A101" s="183" t="s">
        <v>5</v>
      </c>
      <c r="B101" s="187" t="s">
        <v>156</v>
      </c>
      <c r="C101" s="180">
        <f>0.2*146</f>
        <v>29.200000000000003</v>
      </c>
      <c r="D101" s="185" t="s">
        <v>532</v>
      </c>
      <c r="E101" s="305"/>
      <c r="F101" s="305"/>
      <c r="G101" s="99"/>
    </row>
    <row r="102" spans="1:7" s="94" customFormat="1">
      <c r="A102" s="183"/>
      <c r="B102" s="186" t="s">
        <v>186</v>
      </c>
      <c r="C102" s="180"/>
      <c r="D102" s="185"/>
      <c r="E102" s="305"/>
      <c r="F102" s="305"/>
      <c r="G102" s="99"/>
    </row>
    <row r="103" spans="1:7" s="94" customFormat="1">
      <c r="A103" s="183" t="s">
        <v>19</v>
      </c>
      <c r="B103" s="187" t="s">
        <v>408</v>
      </c>
      <c r="C103" s="180">
        <f>1.35*6.05</f>
        <v>8.1675000000000004</v>
      </c>
      <c r="D103" s="185" t="s">
        <v>532</v>
      </c>
      <c r="E103" s="305"/>
      <c r="F103" s="305"/>
      <c r="G103" s="99"/>
    </row>
    <row r="104" spans="1:7" s="94" customFormat="1">
      <c r="A104" s="183" t="s">
        <v>20</v>
      </c>
      <c r="B104" s="188" t="s">
        <v>553</v>
      </c>
      <c r="C104" s="180">
        <f>5.75*1.1</f>
        <v>6.3250000000000002</v>
      </c>
      <c r="D104" s="185" t="s">
        <v>532</v>
      </c>
      <c r="E104" s="305"/>
      <c r="F104" s="305"/>
      <c r="G104" s="99"/>
    </row>
    <row r="105" spans="1:7" s="94" customFormat="1">
      <c r="A105" s="183"/>
      <c r="B105" s="184"/>
      <c r="C105" s="180"/>
      <c r="D105" s="185"/>
      <c r="E105" s="305"/>
      <c r="F105" s="305"/>
      <c r="G105" s="99"/>
    </row>
    <row r="106" spans="1:7" s="94" customFormat="1" ht="36">
      <c r="A106" s="183"/>
      <c r="B106" s="184" t="s">
        <v>404</v>
      </c>
      <c r="C106" s="180"/>
      <c r="D106" s="185"/>
      <c r="E106" s="305"/>
      <c r="F106" s="305"/>
      <c r="G106" s="99"/>
    </row>
    <row r="107" spans="1:7" s="94" customFormat="1">
      <c r="A107" s="183"/>
      <c r="B107" s="186" t="s">
        <v>150</v>
      </c>
      <c r="C107" s="185"/>
      <c r="D107" s="185"/>
      <c r="E107" s="305"/>
      <c r="F107" s="305"/>
      <c r="G107" s="99"/>
    </row>
    <row r="108" spans="1:7" s="94" customFormat="1">
      <c r="A108" s="183" t="s">
        <v>21</v>
      </c>
      <c r="B108" s="187" t="s">
        <v>263</v>
      </c>
      <c r="C108" s="180">
        <f>2*2*0.35*2</f>
        <v>2.8</v>
      </c>
      <c r="D108" s="185" t="s">
        <v>534</v>
      </c>
      <c r="E108" s="305"/>
      <c r="F108" s="305"/>
      <c r="G108" s="99"/>
    </row>
    <row r="109" spans="1:7" s="94" customFormat="1">
      <c r="A109" s="183" t="s">
        <v>22</v>
      </c>
      <c r="B109" s="187" t="s">
        <v>264</v>
      </c>
      <c r="C109" s="180">
        <f>1.6*1.6*0.25*5</f>
        <v>3.2000000000000006</v>
      </c>
      <c r="D109" s="185" t="s">
        <v>534</v>
      </c>
      <c r="E109" s="305"/>
      <c r="F109" s="305"/>
      <c r="G109" s="99"/>
    </row>
    <row r="110" spans="1:7" s="94" customFormat="1">
      <c r="A110" s="183" t="s">
        <v>23</v>
      </c>
      <c r="B110" s="187" t="s">
        <v>265</v>
      </c>
      <c r="C110" s="180">
        <f>1.4*1.4*0.25*4</f>
        <v>1.9599999999999997</v>
      </c>
      <c r="D110" s="185" t="s">
        <v>534</v>
      </c>
      <c r="E110" s="305"/>
      <c r="F110" s="305"/>
      <c r="G110" s="99"/>
    </row>
    <row r="111" spans="1:7" s="94" customFormat="1">
      <c r="A111" s="189" t="s">
        <v>24</v>
      </c>
      <c r="B111" s="190" t="s">
        <v>266</v>
      </c>
      <c r="C111" s="191">
        <f>1.2*1.2*0.2*6</f>
        <v>1.7279999999999998</v>
      </c>
      <c r="D111" s="192" t="s">
        <v>534</v>
      </c>
      <c r="E111" s="324"/>
      <c r="F111" s="324"/>
      <c r="G111" s="101"/>
    </row>
    <row r="112" spans="1:7" s="94" customFormat="1">
      <c r="A112" s="193"/>
      <c r="B112" s="194"/>
      <c r="C112" s="195"/>
      <c r="D112" s="196"/>
      <c r="E112" s="323"/>
      <c r="F112" s="323"/>
      <c r="G112" s="98"/>
    </row>
    <row r="113" spans="1:7" s="94" customFormat="1">
      <c r="A113" s="183" t="s">
        <v>78</v>
      </c>
      <c r="B113" s="187" t="s">
        <v>267</v>
      </c>
      <c r="C113" s="180">
        <f>1*1*0.2*5</f>
        <v>1</v>
      </c>
      <c r="D113" s="185" t="s">
        <v>534</v>
      </c>
      <c r="E113" s="305"/>
      <c r="F113" s="305"/>
      <c r="G113" s="99"/>
    </row>
    <row r="114" spans="1:7" s="94" customFormat="1">
      <c r="A114" s="183"/>
      <c r="B114" s="186" t="s">
        <v>151</v>
      </c>
      <c r="C114" s="180"/>
      <c r="D114" s="185"/>
      <c r="E114" s="305"/>
      <c r="F114" s="305"/>
      <c r="G114" s="99"/>
    </row>
    <row r="115" spans="1:7" s="94" customFormat="1">
      <c r="A115" s="183" t="s">
        <v>63</v>
      </c>
      <c r="B115" s="187" t="s">
        <v>155</v>
      </c>
      <c r="C115" s="180">
        <f>0.2*0.3*146</f>
        <v>8.76</v>
      </c>
      <c r="D115" s="185" t="s">
        <v>534</v>
      </c>
      <c r="E115" s="305"/>
      <c r="F115" s="305"/>
      <c r="G115" s="99"/>
    </row>
    <row r="116" spans="1:7" s="94" customFormat="1">
      <c r="A116" s="183"/>
      <c r="B116" s="186" t="s">
        <v>186</v>
      </c>
      <c r="C116" s="180"/>
      <c r="D116" s="185"/>
      <c r="E116" s="305"/>
      <c r="F116" s="305"/>
      <c r="G116" s="99"/>
    </row>
    <row r="117" spans="1:7" s="94" customFormat="1">
      <c r="A117" s="183" t="s">
        <v>64</v>
      </c>
      <c r="B117" s="187" t="s">
        <v>187</v>
      </c>
      <c r="C117" s="180">
        <f>(6.21*0.1)+(1.3*1.6*2*0.1)+(1.6*6*0.1*2)+(5.675*1.1*0.05)</f>
        <v>3.2691250000000003</v>
      </c>
      <c r="D117" s="185" t="s">
        <v>534</v>
      </c>
      <c r="E117" s="305"/>
      <c r="F117" s="305"/>
      <c r="G117" s="99"/>
    </row>
    <row r="118" spans="1:7" s="94" customFormat="1">
      <c r="A118" s="174"/>
      <c r="B118" s="188"/>
      <c r="C118" s="180"/>
      <c r="D118" s="197"/>
      <c r="E118" s="305"/>
      <c r="F118" s="305"/>
      <c r="G118" s="99"/>
    </row>
    <row r="119" spans="1:7" s="94" customFormat="1" ht="24">
      <c r="A119" s="183"/>
      <c r="B119" s="184" t="s">
        <v>153</v>
      </c>
      <c r="C119" s="180"/>
      <c r="D119" s="185"/>
      <c r="E119" s="305"/>
      <c r="F119" s="305"/>
      <c r="G119" s="99"/>
    </row>
    <row r="120" spans="1:7" s="94" customFormat="1">
      <c r="A120" s="183"/>
      <c r="B120" s="186" t="s">
        <v>150</v>
      </c>
      <c r="C120" s="185"/>
      <c r="D120" s="185"/>
      <c r="E120" s="305"/>
      <c r="F120" s="305"/>
      <c r="G120" s="99"/>
    </row>
    <row r="121" spans="1:7" s="94" customFormat="1">
      <c r="A121" s="183" t="s">
        <v>95</v>
      </c>
      <c r="B121" s="187" t="s">
        <v>257</v>
      </c>
      <c r="C121" s="180">
        <f>2*0.35*4*2</f>
        <v>5.6</v>
      </c>
      <c r="D121" s="185" t="s">
        <v>532</v>
      </c>
      <c r="E121" s="305"/>
      <c r="F121" s="305"/>
      <c r="G121" s="99"/>
    </row>
    <row r="122" spans="1:7" s="94" customFormat="1">
      <c r="A122" s="183" t="s">
        <v>96</v>
      </c>
      <c r="B122" s="187" t="s">
        <v>258</v>
      </c>
      <c r="C122" s="180">
        <f>1.6*0.25*4*5</f>
        <v>8</v>
      </c>
      <c r="D122" s="185" t="s">
        <v>532</v>
      </c>
      <c r="E122" s="305"/>
      <c r="F122" s="305"/>
      <c r="G122" s="99"/>
    </row>
    <row r="123" spans="1:7" s="94" customFormat="1">
      <c r="A123" s="183" t="s">
        <v>169</v>
      </c>
      <c r="B123" s="187" t="s">
        <v>259</v>
      </c>
      <c r="C123" s="180">
        <f>1.4*0.25*4*4</f>
        <v>5.6</v>
      </c>
      <c r="D123" s="185" t="s">
        <v>532</v>
      </c>
      <c r="E123" s="305"/>
      <c r="F123" s="305"/>
      <c r="G123" s="99"/>
    </row>
    <row r="124" spans="1:7" s="94" customFormat="1">
      <c r="A124" s="183" t="s">
        <v>189</v>
      </c>
      <c r="B124" s="187" t="s">
        <v>260</v>
      </c>
      <c r="C124" s="180">
        <f>1.2*0.2*4*6</f>
        <v>5.76</v>
      </c>
      <c r="D124" s="185" t="s">
        <v>532</v>
      </c>
      <c r="E124" s="305"/>
      <c r="F124" s="305"/>
      <c r="G124" s="99"/>
    </row>
    <row r="125" spans="1:7" s="94" customFormat="1">
      <c r="A125" s="183" t="s">
        <v>190</v>
      </c>
      <c r="B125" s="187" t="s">
        <v>262</v>
      </c>
      <c r="C125" s="180">
        <f>1*0.2*4*5</f>
        <v>4</v>
      </c>
      <c r="D125" s="185" t="s">
        <v>532</v>
      </c>
      <c r="E125" s="305"/>
      <c r="F125" s="305"/>
      <c r="G125" s="99"/>
    </row>
    <row r="126" spans="1:7" s="94" customFormat="1">
      <c r="A126" s="183"/>
      <c r="B126" s="186" t="s">
        <v>151</v>
      </c>
      <c r="C126" s="180"/>
      <c r="D126" s="185"/>
      <c r="E126" s="305"/>
      <c r="F126" s="305"/>
      <c r="G126" s="99"/>
    </row>
    <row r="127" spans="1:7" s="94" customFormat="1">
      <c r="A127" s="183" t="s">
        <v>191</v>
      </c>
      <c r="B127" s="187" t="s">
        <v>155</v>
      </c>
      <c r="C127" s="180">
        <f>0.3*145.875*2</f>
        <v>87.524999999999991</v>
      </c>
      <c r="D127" s="185" t="s">
        <v>532</v>
      </c>
      <c r="E127" s="305"/>
      <c r="F127" s="305"/>
      <c r="G127" s="99"/>
    </row>
    <row r="128" spans="1:7" s="94" customFormat="1">
      <c r="A128" s="183"/>
      <c r="B128" s="186" t="s">
        <v>186</v>
      </c>
      <c r="C128" s="180"/>
      <c r="D128" s="185"/>
      <c r="E128" s="305"/>
      <c r="F128" s="305"/>
      <c r="G128" s="99"/>
    </row>
    <row r="129" spans="1:7" s="94" customFormat="1">
      <c r="A129" s="183" t="s">
        <v>192</v>
      </c>
      <c r="B129" s="187" t="s">
        <v>187</v>
      </c>
      <c r="C129" s="180">
        <v>44</v>
      </c>
      <c r="D129" s="185" t="s">
        <v>532</v>
      </c>
      <c r="E129" s="305"/>
      <c r="F129" s="305"/>
      <c r="G129" s="99"/>
    </row>
    <row r="130" spans="1:7" s="94" customFormat="1">
      <c r="A130" s="183"/>
      <c r="B130" s="184"/>
      <c r="C130" s="180"/>
      <c r="D130" s="185"/>
      <c r="E130" s="305"/>
      <c r="F130" s="305"/>
      <c r="G130" s="99"/>
    </row>
    <row r="131" spans="1:7" s="94" customFormat="1" ht="24">
      <c r="A131" s="183"/>
      <c r="B131" s="184" t="s">
        <v>30</v>
      </c>
      <c r="C131" s="180"/>
      <c r="D131" s="185"/>
      <c r="E131" s="305"/>
      <c r="F131" s="305"/>
      <c r="G131" s="99"/>
    </row>
    <row r="132" spans="1:7" s="94" customFormat="1">
      <c r="A132" s="183"/>
      <c r="B132" s="186" t="s">
        <v>150</v>
      </c>
      <c r="C132" s="185"/>
      <c r="D132" s="185"/>
      <c r="E132" s="305"/>
      <c r="F132" s="305"/>
      <c r="G132" s="99"/>
    </row>
    <row r="133" spans="1:7" s="94" customFormat="1">
      <c r="A133" s="183"/>
      <c r="B133" s="187" t="s">
        <v>257</v>
      </c>
      <c r="C133" s="180"/>
      <c r="D133" s="185"/>
      <c r="E133" s="305"/>
      <c r="F133" s="305"/>
      <c r="G133" s="99"/>
    </row>
    <row r="134" spans="1:7" s="94" customFormat="1">
      <c r="A134" s="183" t="s">
        <v>324</v>
      </c>
      <c r="B134" s="187" t="s">
        <v>157</v>
      </c>
      <c r="C134" s="180">
        <f>48.4*2*0.888</f>
        <v>85.958399999999997</v>
      </c>
      <c r="D134" s="185" t="s">
        <v>3</v>
      </c>
      <c r="E134" s="305"/>
      <c r="F134" s="305"/>
      <c r="G134" s="99"/>
    </row>
    <row r="135" spans="1:7" s="94" customFormat="1">
      <c r="A135" s="183"/>
      <c r="B135" s="187" t="s">
        <v>258</v>
      </c>
      <c r="C135" s="180"/>
      <c r="D135" s="185"/>
      <c r="E135" s="305"/>
      <c r="F135" s="305"/>
      <c r="G135" s="99"/>
    </row>
    <row r="136" spans="1:7" s="94" customFormat="1">
      <c r="A136" s="183" t="s">
        <v>193</v>
      </c>
      <c r="B136" s="187" t="s">
        <v>158</v>
      </c>
      <c r="C136" s="180">
        <f>28.8*4*0.888</f>
        <v>102.2976</v>
      </c>
      <c r="D136" s="185" t="s">
        <v>3</v>
      </c>
      <c r="E136" s="305"/>
      <c r="F136" s="305"/>
      <c r="G136" s="99"/>
    </row>
    <row r="137" spans="1:7" s="94" customFormat="1">
      <c r="A137" s="183"/>
      <c r="B137" s="187" t="s">
        <v>259</v>
      </c>
      <c r="C137" s="180"/>
      <c r="D137" s="185"/>
      <c r="E137" s="305"/>
      <c r="F137" s="305"/>
      <c r="G137" s="99"/>
    </row>
    <row r="138" spans="1:7" s="94" customFormat="1">
      <c r="A138" s="183" t="s">
        <v>194</v>
      </c>
      <c r="B138" s="187" t="s">
        <v>159</v>
      </c>
      <c r="C138" s="180">
        <f>22.4*4*0.617</f>
        <v>55.283199999999994</v>
      </c>
      <c r="D138" s="185" t="s">
        <v>3</v>
      </c>
      <c r="E138" s="305"/>
      <c r="F138" s="305"/>
      <c r="G138" s="99"/>
    </row>
    <row r="139" spans="1:7" s="94" customFormat="1">
      <c r="A139" s="183"/>
      <c r="B139" s="187" t="s">
        <v>260</v>
      </c>
      <c r="C139" s="180"/>
      <c r="D139" s="185"/>
      <c r="E139" s="305"/>
      <c r="F139" s="305"/>
      <c r="G139" s="99"/>
    </row>
    <row r="140" spans="1:7" s="94" customFormat="1">
      <c r="A140" s="183" t="s">
        <v>195</v>
      </c>
      <c r="B140" s="187" t="s">
        <v>159</v>
      </c>
      <c r="C140" s="180">
        <f>16.8*6*0.617</f>
        <v>62.193600000000004</v>
      </c>
      <c r="D140" s="185" t="s">
        <v>3</v>
      </c>
      <c r="E140" s="305"/>
      <c r="F140" s="305"/>
      <c r="G140" s="99"/>
    </row>
    <row r="141" spans="1:7" s="94" customFormat="1">
      <c r="A141" s="183"/>
      <c r="B141" s="187" t="s">
        <v>262</v>
      </c>
      <c r="C141" s="180"/>
      <c r="D141" s="185"/>
      <c r="E141" s="305"/>
      <c r="F141" s="305"/>
      <c r="G141" s="99"/>
    </row>
    <row r="142" spans="1:7" s="94" customFormat="1">
      <c r="A142" s="183" t="s">
        <v>196</v>
      </c>
      <c r="B142" s="187" t="s">
        <v>159</v>
      </c>
      <c r="C142" s="180">
        <f>12*5*0.617</f>
        <v>37.019999999999996</v>
      </c>
      <c r="D142" s="185" t="s">
        <v>3</v>
      </c>
      <c r="E142" s="305"/>
      <c r="F142" s="305"/>
      <c r="G142" s="99"/>
    </row>
    <row r="143" spans="1:7" s="94" customFormat="1">
      <c r="A143" s="183"/>
      <c r="B143" s="186" t="s">
        <v>151</v>
      </c>
      <c r="C143" s="180"/>
      <c r="D143" s="185"/>
      <c r="E143" s="305"/>
      <c r="F143" s="305"/>
      <c r="G143" s="99"/>
    </row>
    <row r="144" spans="1:7" s="94" customFormat="1">
      <c r="A144" s="183"/>
      <c r="B144" s="187" t="s">
        <v>156</v>
      </c>
      <c r="C144" s="180"/>
      <c r="D144" s="185"/>
      <c r="E144" s="305"/>
      <c r="F144" s="305"/>
      <c r="G144" s="99"/>
    </row>
    <row r="145" spans="1:7" s="94" customFormat="1">
      <c r="A145" s="183" t="s">
        <v>197</v>
      </c>
      <c r="B145" s="187" t="s">
        <v>160</v>
      </c>
      <c r="C145" s="180">
        <f>146*4*1.58</f>
        <v>922.72</v>
      </c>
      <c r="D145" s="185" t="s">
        <v>3</v>
      </c>
      <c r="E145" s="305"/>
      <c r="F145" s="305"/>
      <c r="G145" s="99"/>
    </row>
    <row r="146" spans="1:7" s="94" customFormat="1">
      <c r="A146" s="183" t="s">
        <v>198</v>
      </c>
      <c r="B146" s="187" t="s">
        <v>27</v>
      </c>
      <c r="C146" s="180">
        <f>922*0.15</f>
        <v>138.29999999999998</v>
      </c>
      <c r="D146" s="185" t="s">
        <v>3</v>
      </c>
      <c r="E146" s="305"/>
      <c r="F146" s="305"/>
      <c r="G146" s="99"/>
    </row>
    <row r="147" spans="1:7" s="94" customFormat="1">
      <c r="A147" s="183"/>
      <c r="B147" s="186" t="s">
        <v>186</v>
      </c>
      <c r="C147" s="180"/>
      <c r="D147" s="185"/>
      <c r="E147" s="305"/>
      <c r="F147" s="305"/>
      <c r="G147" s="99"/>
    </row>
    <row r="148" spans="1:7" s="94" customFormat="1">
      <c r="A148" s="183" t="s">
        <v>199</v>
      </c>
      <c r="B148" s="187" t="s">
        <v>187</v>
      </c>
      <c r="C148" s="180">
        <f>358.4*0.617</f>
        <v>221.13279999999997</v>
      </c>
      <c r="D148" s="185" t="s">
        <v>3</v>
      </c>
      <c r="E148" s="305"/>
      <c r="F148" s="305"/>
      <c r="G148" s="99"/>
    </row>
    <row r="149" spans="1:7" s="94" customFormat="1">
      <c r="A149" s="183"/>
      <c r="B149" s="187"/>
      <c r="C149" s="180"/>
      <c r="D149" s="185"/>
      <c r="E149" s="305"/>
      <c r="F149" s="305"/>
      <c r="G149" s="99"/>
    </row>
    <row r="150" spans="1:7" s="94" customFormat="1" ht="36">
      <c r="A150" s="183"/>
      <c r="B150" s="184" t="s">
        <v>154</v>
      </c>
      <c r="C150" s="180"/>
      <c r="D150" s="185"/>
      <c r="E150" s="305"/>
      <c r="F150" s="305"/>
      <c r="G150" s="99"/>
    </row>
    <row r="151" spans="1:7" s="94" customFormat="1">
      <c r="A151" s="183"/>
      <c r="B151" s="186" t="s">
        <v>150</v>
      </c>
      <c r="C151" s="185"/>
      <c r="D151" s="185"/>
      <c r="E151" s="305"/>
      <c r="F151" s="305"/>
      <c r="G151" s="99"/>
    </row>
    <row r="152" spans="1:7" s="94" customFormat="1">
      <c r="A152" s="183" t="s">
        <v>200</v>
      </c>
      <c r="B152" s="187" t="s">
        <v>257</v>
      </c>
      <c r="C152" s="180">
        <f>((2*0.35*4)+(2*2))*2</f>
        <v>13.6</v>
      </c>
      <c r="D152" s="185" t="s">
        <v>532</v>
      </c>
      <c r="E152" s="305"/>
      <c r="F152" s="305"/>
      <c r="G152" s="99"/>
    </row>
    <row r="153" spans="1:7" s="94" customFormat="1">
      <c r="A153" s="183" t="s">
        <v>201</v>
      </c>
      <c r="B153" s="187" t="s">
        <v>258</v>
      </c>
      <c r="C153" s="180">
        <f>((1.6*0.25*4)+(1.6*1.6))*5</f>
        <v>20.8</v>
      </c>
      <c r="D153" s="185" t="s">
        <v>532</v>
      </c>
      <c r="E153" s="305"/>
      <c r="F153" s="305"/>
      <c r="G153" s="99"/>
    </row>
    <row r="154" spans="1:7" s="94" customFormat="1">
      <c r="A154" s="183" t="s">
        <v>202</v>
      </c>
      <c r="B154" s="187" t="s">
        <v>259</v>
      </c>
      <c r="C154" s="180">
        <f>((1.4*0.25*4)+(1.4*1.4))*4</f>
        <v>13.439999999999998</v>
      </c>
      <c r="D154" s="185" t="s">
        <v>532</v>
      </c>
      <c r="E154" s="305"/>
      <c r="F154" s="305"/>
      <c r="G154" s="99"/>
    </row>
    <row r="155" spans="1:7" s="94" customFormat="1">
      <c r="A155" s="183" t="s">
        <v>203</v>
      </c>
      <c r="B155" s="187" t="s">
        <v>260</v>
      </c>
      <c r="C155" s="180">
        <f>((1.2*0.2*4)+(1.2*1.2))*6</f>
        <v>14.399999999999999</v>
      </c>
      <c r="D155" s="185" t="s">
        <v>532</v>
      </c>
      <c r="E155" s="305"/>
      <c r="F155" s="305"/>
      <c r="G155" s="99"/>
    </row>
    <row r="156" spans="1:7" s="94" customFormat="1">
      <c r="A156" s="183" t="s">
        <v>204</v>
      </c>
      <c r="B156" s="187" t="s">
        <v>262</v>
      </c>
      <c r="C156" s="180">
        <f>1*0.2*4*5</f>
        <v>4</v>
      </c>
      <c r="D156" s="185" t="s">
        <v>532</v>
      </c>
      <c r="E156" s="305"/>
      <c r="F156" s="305"/>
      <c r="G156" s="99"/>
    </row>
    <row r="157" spans="1:7" s="94" customFormat="1">
      <c r="A157" s="183"/>
      <c r="B157" s="186" t="s">
        <v>151</v>
      </c>
      <c r="C157" s="180"/>
      <c r="D157" s="185"/>
      <c r="E157" s="305"/>
      <c r="F157" s="305"/>
      <c r="G157" s="99"/>
    </row>
    <row r="158" spans="1:7" s="94" customFormat="1">
      <c r="A158" s="183" t="s">
        <v>325</v>
      </c>
      <c r="B158" s="187" t="s">
        <v>155</v>
      </c>
      <c r="C158" s="180">
        <f>(0.3*145.875*2)+(0.2*146)</f>
        <v>116.72499999999999</v>
      </c>
      <c r="D158" s="185" t="s">
        <v>532</v>
      </c>
      <c r="E158" s="305"/>
      <c r="F158" s="305"/>
      <c r="G158" s="99"/>
    </row>
    <row r="159" spans="1:7" s="94" customFormat="1">
      <c r="A159" s="183" t="s">
        <v>554</v>
      </c>
      <c r="B159" s="187" t="s">
        <v>170</v>
      </c>
      <c r="C159" s="177">
        <f>146*0.9*2</f>
        <v>262.8</v>
      </c>
      <c r="D159" s="185" t="s">
        <v>532</v>
      </c>
      <c r="E159" s="305"/>
      <c r="F159" s="305"/>
      <c r="G159" s="99"/>
    </row>
    <row r="160" spans="1:7" s="94" customFormat="1">
      <c r="A160" s="183" t="s">
        <v>555</v>
      </c>
      <c r="B160" s="187" t="s">
        <v>186</v>
      </c>
      <c r="C160" s="197">
        <v>19</v>
      </c>
      <c r="D160" s="185" t="s">
        <v>532</v>
      </c>
      <c r="E160" s="305"/>
      <c r="F160" s="305"/>
      <c r="G160" s="99"/>
    </row>
    <row r="161" spans="1:7" s="94" customFormat="1">
      <c r="A161" s="183"/>
      <c r="B161" s="187"/>
      <c r="C161" s="197"/>
      <c r="D161" s="185"/>
      <c r="E161" s="305"/>
      <c r="F161" s="305"/>
      <c r="G161" s="99"/>
    </row>
    <row r="162" spans="1:7" s="94" customFormat="1">
      <c r="A162" s="172" t="s">
        <v>46</v>
      </c>
      <c r="B162" s="176" t="s">
        <v>41</v>
      </c>
      <c r="C162" s="197"/>
      <c r="D162" s="198"/>
      <c r="E162" s="305"/>
      <c r="F162" s="103">
        <v>0</v>
      </c>
      <c r="G162" s="104"/>
    </row>
    <row r="163" spans="1:7" s="95" customFormat="1" ht="24">
      <c r="A163" s="199"/>
      <c r="B163" s="184" t="s">
        <v>161</v>
      </c>
      <c r="C163" s="180"/>
      <c r="D163" s="182"/>
      <c r="E163" s="103"/>
      <c r="F163" s="103">
        <v>0</v>
      </c>
      <c r="G163" s="2"/>
    </row>
    <row r="164" spans="1:7" s="105" customFormat="1">
      <c r="A164" s="199" t="s">
        <v>8</v>
      </c>
      <c r="B164" s="187" t="s">
        <v>25</v>
      </c>
      <c r="C164" s="180">
        <v>314.13</v>
      </c>
      <c r="D164" s="180" t="s">
        <v>532</v>
      </c>
      <c r="E164" s="103"/>
      <c r="F164" s="103">
        <v>0</v>
      </c>
      <c r="G164" s="2"/>
    </row>
    <row r="165" spans="1:7" s="105" customFormat="1">
      <c r="A165" s="199" t="s">
        <v>9</v>
      </c>
      <c r="B165" s="187" t="s">
        <v>26</v>
      </c>
      <c r="C165" s="180">
        <f>C160</f>
        <v>19</v>
      </c>
      <c r="D165" s="182" t="s">
        <v>532</v>
      </c>
      <c r="E165" s="103"/>
      <c r="F165" s="103">
        <v>0</v>
      </c>
      <c r="G165" s="2"/>
    </row>
    <row r="166" spans="1:7" s="105" customFormat="1">
      <c r="A166" s="199"/>
      <c r="B166" s="187"/>
      <c r="C166" s="180"/>
      <c r="D166" s="180"/>
      <c r="E166" s="103"/>
      <c r="F166" s="103"/>
      <c r="G166" s="2"/>
    </row>
    <row r="167" spans="1:7" s="105" customFormat="1">
      <c r="A167" s="200"/>
      <c r="B167" s="190"/>
      <c r="C167" s="191"/>
      <c r="D167" s="191"/>
      <c r="E167" s="106"/>
      <c r="F167" s="106"/>
      <c r="G167" s="107"/>
    </row>
    <row r="168" spans="1:7" s="105" customFormat="1">
      <c r="A168" s="201"/>
      <c r="B168" s="194"/>
      <c r="C168" s="195"/>
      <c r="D168" s="202"/>
      <c r="E168" s="109"/>
      <c r="F168" s="109"/>
      <c r="G168" s="110"/>
    </row>
    <row r="169" spans="1:7" s="111" customFormat="1" ht="72">
      <c r="A169" s="199"/>
      <c r="B169" s="184" t="s">
        <v>587</v>
      </c>
      <c r="C169" s="180"/>
      <c r="D169" s="182"/>
      <c r="E169" s="103"/>
      <c r="F169" s="103">
        <v>0</v>
      </c>
      <c r="G169" s="2"/>
    </row>
    <row r="170" spans="1:7" s="111" customFormat="1">
      <c r="A170" s="199" t="s">
        <v>10</v>
      </c>
      <c r="B170" s="187" t="s">
        <v>164</v>
      </c>
      <c r="C170" s="180">
        <f>C164*0.1</f>
        <v>31.413</v>
      </c>
      <c r="D170" s="182" t="s">
        <v>534</v>
      </c>
      <c r="E170" s="103"/>
      <c r="F170" s="103">
        <v>0</v>
      </c>
      <c r="G170" s="2"/>
    </row>
    <row r="171" spans="1:7" s="111" customFormat="1">
      <c r="A171" s="199"/>
      <c r="B171" s="187"/>
      <c r="C171" s="180"/>
      <c r="D171" s="182"/>
      <c r="E171" s="103"/>
      <c r="F171" s="103">
        <v>0</v>
      </c>
      <c r="G171" s="2"/>
    </row>
    <row r="172" spans="1:7" s="111" customFormat="1" ht="24">
      <c r="A172" s="199" t="s">
        <v>1</v>
      </c>
      <c r="B172" s="203" t="s">
        <v>30</v>
      </c>
      <c r="C172" s="180"/>
      <c r="D172" s="182"/>
      <c r="E172" s="103"/>
      <c r="F172" s="103">
        <v>0</v>
      </c>
      <c r="G172" s="2"/>
    </row>
    <row r="173" spans="1:7" s="111" customFormat="1">
      <c r="A173" s="199" t="s">
        <v>11</v>
      </c>
      <c r="B173" s="204" t="s">
        <v>134</v>
      </c>
      <c r="C173" s="180">
        <v>1292.77</v>
      </c>
      <c r="D173" s="182" t="s">
        <v>3</v>
      </c>
      <c r="E173" s="103"/>
      <c r="F173" s="103"/>
      <c r="G173" s="2"/>
    </row>
    <row r="174" spans="1:7" s="111" customFormat="1">
      <c r="A174" s="199" t="s">
        <v>12</v>
      </c>
      <c r="B174" s="187" t="s">
        <v>27</v>
      </c>
      <c r="C174" s="180">
        <f>C173*0.15</f>
        <v>193.91549999999998</v>
      </c>
      <c r="D174" s="185" t="s">
        <v>3</v>
      </c>
      <c r="E174" s="103"/>
      <c r="F174" s="103"/>
      <c r="G174" s="2"/>
    </row>
    <row r="175" spans="1:7" s="111" customFormat="1">
      <c r="A175" s="199"/>
      <c r="B175" s="146"/>
      <c r="C175" s="180"/>
      <c r="D175" s="185"/>
      <c r="E175" s="103"/>
      <c r="F175" s="103"/>
      <c r="G175" s="2"/>
    </row>
    <row r="176" spans="1:7" s="111" customFormat="1">
      <c r="A176" s="172" t="s">
        <v>47</v>
      </c>
      <c r="B176" s="176" t="s">
        <v>42</v>
      </c>
      <c r="C176" s="197"/>
      <c r="D176" s="198"/>
      <c r="E176" s="305"/>
      <c r="F176" s="103">
        <v>0</v>
      </c>
      <c r="G176" s="104"/>
    </row>
    <row r="177" spans="1:7" s="111" customFormat="1" ht="36">
      <c r="A177" s="199"/>
      <c r="B177" s="179" t="s">
        <v>404</v>
      </c>
      <c r="C177" s="180"/>
      <c r="D177" s="182"/>
      <c r="E177" s="103"/>
      <c r="F177" s="103">
        <v>0</v>
      </c>
      <c r="G177" s="2"/>
    </row>
    <row r="178" spans="1:7" s="111" customFormat="1">
      <c r="A178" s="199" t="s">
        <v>1</v>
      </c>
      <c r="B178" s="205"/>
      <c r="C178" s="180"/>
      <c r="D178" s="182"/>
      <c r="E178" s="103"/>
      <c r="F178" s="103">
        <v>0</v>
      </c>
      <c r="G178" s="2"/>
    </row>
    <row r="179" spans="1:7" s="111" customFormat="1">
      <c r="A179" s="199" t="s">
        <v>8</v>
      </c>
      <c r="B179" s="206" t="s">
        <v>277</v>
      </c>
      <c r="C179" s="180">
        <f>(0.25*0.2*4.1)*4</f>
        <v>0.82</v>
      </c>
      <c r="D179" s="207" t="s">
        <v>534</v>
      </c>
      <c r="E179" s="103"/>
      <c r="F179" s="103"/>
      <c r="G179" s="2"/>
    </row>
    <row r="180" spans="1:7" s="111" customFormat="1">
      <c r="A180" s="199" t="s">
        <v>9</v>
      </c>
      <c r="B180" s="206" t="s">
        <v>278</v>
      </c>
      <c r="C180" s="180">
        <f>(0.25*0.2*6.1)*1</f>
        <v>0.30499999999999999</v>
      </c>
      <c r="D180" s="207" t="s">
        <v>534</v>
      </c>
      <c r="E180" s="103"/>
      <c r="F180" s="103"/>
      <c r="G180" s="2"/>
    </row>
    <row r="181" spans="1:7" s="105" customFormat="1">
      <c r="A181" s="199" t="s">
        <v>10</v>
      </c>
      <c r="B181" s="206" t="s">
        <v>281</v>
      </c>
      <c r="C181" s="180">
        <f>(0.2*0.2*4.1)*16</f>
        <v>2.6240000000000001</v>
      </c>
      <c r="D181" s="207" t="s">
        <v>534</v>
      </c>
      <c r="E181" s="103"/>
      <c r="F181" s="103"/>
      <c r="G181" s="2"/>
    </row>
    <row r="182" spans="1:7" s="105" customFormat="1">
      <c r="A182" s="199" t="s">
        <v>11</v>
      </c>
      <c r="B182" s="206" t="s">
        <v>280</v>
      </c>
      <c r="C182" s="180">
        <f>(0.2*0.2*6.1)*1</f>
        <v>0.24400000000000002</v>
      </c>
      <c r="D182" s="207" t="s">
        <v>534</v>
      </c>
      <c r="E182" s="103"/>
      <c r="F182" s="103"/>
      <c r="G182" s="2"/>
    </row>
    <row r="183" spans="1:7" s="111" customFormat="1">
      <c r="A183" s="199" t="s">
        <v>12</v>
      </c>
      <c r="B183" s="206" t="s">
        <v>255</v>
      </c>
      <c r="C183" s="180">
        <f>(0.2*0.2*3.35)*2</f>
        <v>0.26800000000000007</v>
      </c>
      <c r="D183" s="207" t="s">
        <v>534</v>
      </c>
      <c r="E183" s="103"/>
      <c r="F183" s="103"/>
      <c r="G183" s="2"/>
    </row>
    <row r="184" spans="1:7" s="111" customFormat="1">
      <c r="A184" s="208"/>
      <c r="B184" s="209"/>
      <c r="C184" s="210"/>
      <c r="D184" s="210"/>
      <c r="E184" s="112"/>
      <c r="F184" s="112"/>
      <c r="G184" s="113"/>
    </row>
    <row r="185" spans="1:7" s="111" customFormat="1" ht="24">
      <c r="A185" s="199" t="s">
        <v>1</v>
      </c>
      <c r="B185" s="211" t="s">
        <v>31</v>
      </c>
      <c r="C185" s="180"/>
      <c r="D185" s="182"/>
      <c r="E185" s="103"/>
      <c r="F185" s="103">
        <v>0</v>
      </c>
      <c r="G185" s="2"/>
    </row>
    <row r="186" spans="1:7" s="111" customFormat="1">
      <c r="A186" s="199" t="s">
        <v>1</v>
      </c>
      <c r="B186" s="205"/>
      <c r="C186" s="180"/>
      <c r="D186" s="182"/>
      <c r="E186" s="103"/>
      <c r="F186" s="103">
        <v>0</v>
      </c>
      <c r="G186" s="2"/>
    </row>
    <row r="187" spans="1:7" s="111" customFormat="1">
      <c r="A187" s="199" t="s">
        <v>13</v>
      </c>
      <c r="B187" s="206" t="s">
        <v>277</v>
      </c>
      <c r="C187" s="180">
        <f>((0.25*4.1*2)+(0.2*4.1*2))*5</f>
        <v>18.449999999999996</v>
      </c>
      <c r="D187" s="180" t="s">
        <v>532</v>
      </c>
      <c r="E187" s="103"/>
      <c r="F187" s="103"/>
      <c r="G187" s="2"/>
    </row>
    <row r="188" spans="1:7" s="111" customFormat="1">
      <c r="A188" s="199" t="s">
        <v>14</v>
      </c>
      <c r="B188" s="206" t="s">
        <v>278</v>
      </c>
      <c r="C188" s="180">
        <f>((0.25*6.1*2)+(0.2*6.1*2))*1</f>
        <v>5.49</v>
      </c>
      <c r="D188" s="180" t="s">
        <v>532</v>
      </c>
      <c r="E188" s="103"/>
      <c r="F188" s="103"/>
      <c r="G188" s="2"/>
    </row>
    <row r="189" spans="1:7" s="111" customFormat="1">
      <c r="A189" s="199" t="s">
        <v>15</v>
      </c>
      <c r="B189" s="206" t="s">
        <v>281</v>
      </c>
      <c r="C189" s="180">
        <f>((0.2*4*4.1)*17)</f>
        <v>55.76</v>
      </c>
      <c r="D189" s="180" t="s">
        <v>532</v>
      </c>
      <c r="E189" s="103"/>
      <c r="F189" s="103"/>
      <c r="G189" s="2"/>
    </row>
    <row r="190" spans="1:7" s="111" customFormat="1">
      <c r="A190" s="199" t="s">
        <v>61</v>
      </c>
      <c r="B190" s="206" t="s">
        <v>280</v>
      </c>
      <c r="C190" s="180">
        <f>((0.2*4*6.1)*1)</f>
        <v>4.88</v>
      </c>
      <c r="D190" s="180" t="s">
        <v>532</v>
      </c>
      <c r="E190" s="103"/>
      <c r="F190" s="103"/>
      <c r="G190" s="2"/>
    </row>
    <row r="191" spans="1:7" s="111" customFormat="1">
      <c r="A191" s="199" t="s">
        <v>16</v>
      </c>
      <c r="B191" s="206" t="s">
        <v>255</v>
      </c>
      <c r="C191" s="180">
        <f>(0.2*3.35*2)*2</f>
        <v>2.68</v>
      </c>
      <c r="D191" s="207" t="s">
        <v>532</v>
      </c>
      <c r="E191" s="103"/>
      <c r="F191" s="103"/>
      <c r="G191" s="2"/>
    </row>
    <row r="192" spans="1:7" s="111" customFormat="1">
      <c r="A192" s="208"/>
      <c r="B192" s="209"/>
      <c r="C192" s="210"/>
      <c r="D192" s="210"/>
      <c r="E192" s="112"/>
      <c r="F192" s="112"/>
      <c r="G192" s="113"/>
    </row>
    <row r="193" spans="1:7" s="111" customFormat="1" ht="24">
      <c r="A193" s="199" t="s">
        <v>1</v>
      </c>
      <c r="B193" s="211" t="s">
        <v>30</v>
      </c>
      <c r="C193" s="180"/>
      <c r="D193" s="182"/>
      <c r="E193" s="103"/>
      <c r="F193" s="103">
        <v>0</v>
      </c>
      <c r="G193" s="2"/>
    </row>
    <row r="194" spans="1:7" s="111" customFormat="1">
      <c r="A194" s="199" t="s">
        <v>1</v>
      </c>
      <c r="B194" s="205"/>
      <c r="C194" s="180"/>
      <c r="D194" s="182"/>
      <c r="E194" s="103"/>
      <c r="F194" s="103">
        <v>0</v>
      </c>
      <c r="G194" s="2"/>
    </row>
    <row r="195" spans="1:7" s="111" customFormat="1">
      <c r="A195" s="188"/>
      <c r="B195" s="206" t="s">
        <v>277</v>
      </c>
      <c r="C195" s="180"/>
      <c r="D195" s="182"/>
      <c r="E195" s="103"/>
      <c r="F195" s="103"/>
      <c r="G195" s="2"/>
    </row>
    <row r="196" spans="1:7" s="111" customFormat="1">
      <c r="A196" s="199" t="s">
        <v>17</v>
      </c>
      <c r="B196" s="206" t="s">
        <v>392</v>
      </c>
      <c r="C196" s="180">
        <f>((4.5*8)*4)*0.888</f>
        <v>127.872</v>
      </c>
      <c r="D196" s="182" t="s">
        <v>3</v>
      </c>
      <c r="E196" s="103"/>
      <c r="F196" s="103"/>
      <c r="G196" s="2"/>
    </row>
    <row r="197" spans="1:7" s="105" customFormat="1">
      <c r="A197" s="199" t="s">
        <v>18</v>
      </c>
      <c r="B197" s="206" t="s">
        <v>409</v>
      </c>
      <c r="C197" s="180">
        <f>60*1*4*0.222</f>
        <v>53.28</v>
      </c>
      <c r="D197" s="182" t="s">
        <v>3</v>
      </c>
      <c r="E197" s="103"/>
      <c r="F197" s="103"/>
      <c r="G197" s="2"/>
    </row>
    <row r="198" spans="1:7" s="111" customFormat="1">
      <c r="A198" s="188"/>
      <c r="B198" s="206" t="s">
        <v>278</v>
      </c>
      <c r="C198" s="180"/>
      <c r="D198" s="182"/>
      <c r="E198" s="103"/>
      <c r="F198" s="103"/>
      <c r="G198" s="2"/>
    </row>
    <row r="199" spans="1:7" s="111" customFormat="1">
      <c r="A199" s="199" t="s">
        <v>5</v>
      </c>
      <c r="B199" s="206" t="s">
        <v>392</v>
      </c>
      <c r="C199" s="180">
        <f>((7.5*8)*1)*0.888</f>
        <v>53.28</v>
      </c>
      <c r="D199" s="182" t="s">
        <v>3</v>
      </c>
      <c r="E199" s="103"/>
      <c r="F199" s="103"/>
      <c r="G199" s="2"/>
    </row>
    <row r="200" spans="1:7" s="105" customFormat="1">
      <c r="A200" s="199" t="s">
        <v>19</v>
      </c>
      <c r="B200" s="206" t="s">
        <v>409</v>
      </c>
      <c r="C200" s="180">
        <f>82*1*0.222</f>
        <v>18.204000000000001</v>
      </c>
      <c r="D200" s="182" t="s">
        <v>3</v>
      </c>
      <c r="E200" s="103"/>
      <c r="F200" s="103"/>
      <c r="G200" s="2"/>
    </row>
    <row r="201" spans="1:7" s="111" customFormat="1">
      <c r="A201" s="199"/>
      <c r="B201" s="206" t="s">
        <v>287</v>
      </c>
      <c r="C201" s="180"/>
      <c r="D201" s="182"/>
      <c r="E201" s="103"/>
      <c r="F201" s="103"/>
      <c r="G201" s="2"/>
    </row>
    <row r="202" spans="1:7" s="111" customFormat="1">
      <c r="A202" s="199" t="s">
        <v>20</v>
      </c>
      <c r="B202" s="206" t="s">
        <v>393</v>
      </c>
      <c r="C202" s="180">
        <f>((4.5*4)*16)*0.888</f>
        <v>255.744</v>
      </c>
      <c r="D202" s="182" t="s">
        <v>3</v>
      </c>
      <c r="E202" s="103"/>
      <c r="F202" s="103"/>
      <c r="G202" s="2"/>
    </row>
    <row r="203" spans="1:7" s="111" customFormat="1">
      <c r="A203" s="199" t="s">
        <v>21</v>
      </c>
      <c r="B203" s="206" t="s">
        <v>410</v>
      </c>
      <c r="C203" s="180">
        <f>((60*0.9)*16)*0.222</f>
        <v>191.80799999999999</v>
      </c>
      <c r="D203" s="182" t="s">
        <v>3</v>
      </c>
      <c r="E203" s="103"/>
      <c r="F203" s="103"/>
      <c r="G203" s="2"/>
    </row>
    <row r="204" spans="1:7" s="111" customFormat="1">
      <c r="A204" s="188"/>
      <c r="B204" s="206" t="s">
        <v>283</v>
      </c>
      <c r="C204" s="180"/>
      <c r="D204" s="182"/>
      <c r="E204" s="103"/>
      <c r="F204" s="103"/>
      <c r="G204" s="2"/>
    </row>
    <row r="205" spans="1:7" s="111" customFormat="1">
      <c r="A205" s="199" t="s">
        <v>22</v>
      </c>
      <c r="B205" s="206" t="s">
        <v>393</v>
      </c>
      <c r="C205" s="180">
        <f>((6.1*4)*1)*0.888</f>
        <v>21.667199999999998</v>
      </c>
      <c r="D205" s="182" t="s">
        <v>3</v>
      </c>
      <c r="E205" s="103"/>
      <c r="F205" s="103"/>
      <c r="G205" s="2"/>
    </row>
    <row r="206" spans="1:7" s="111" customFormat="1">
      <c r="A206" s="199" t="s">
        <v>23</v>
      </c>
      <c r="B206" s="206" t="s">
        <v>409</v>
      </c>
      <c r="C206" s="180">
        <f>((82*0.9)*1)*0.222</f>
        <v>16.383600000000001</v>
      </c>
      <c r="D206" s="182" t="s">
        <v>3</v>
      </c>
      <c r="E206" s="103"/>
      <c r="F206" s="103"/>
      <c r="G206" s="2"/>
    </row>
    <row r="207" spans="1:7" s="111" customFormat="1">
      <c r="A207" s="199"/>
      <c r="B207" s="206" t="s">
        <v>167</v>
      </c>
      <c r="C207" s="180"/>
      <c r="D207" s="182"/>
      <c r="E207" s="103"/>
      <c r="F207" s="103"/>
      <c r="G207" s="2"/>
    </row>
    <row r="208" spans="1:7" s="111" customFormat="1">
      <c r="A208" s="199" t="s">
        <v>24</v>
      </c>
      <c r="B208" s="206" t="s">
        <v>393</v>
      </c>
      <c r="C208" s="180">
        <f>((3.55*4)*2)*0.888</f>
        <v>25.219200000000001</v>
      </c>
      <c r="D208" s="182" t="s">
        <v>3</v>
      </c>
      <c r="E208" s="103"/>
      <c r="F208" s="103"/>
      <c r="G208" s="2"/>
    </row>
    <row r="209" spans="1:7" s="105" customFormat="1">
      <c r="A209" s="199" t="s">
        <v>78</v>
      </c>
      <c r="B209" s="206" t="s">
        <v>410</v>
      </c>
      <c r="C209" s="180">
        <f>((46*0.9)*2)*0.222</f>
        <v>18.381599999999999</v>
      </c>
      <c r="D209" s="182" t="s">
        <v>3</v>
      </c>
      <c r="E209" s="103"/>
      <c r="F209" s="103"/>
      <c r="G209" s="2"/>
    </row>
    <row r="210" spans="1:7" s="105" customFormat="1">
      <c r="A210" s="212"/>
      <c r="B210" s="213"/>
      <c r="C210" s="214"/>
      <c r="D210" s="215"/>
      <c r="E210" s="114"/>
      <c r="F210" s="114"/>
      <c r="G210" s="115"/>
    </row>
    <row r="211" spans="1:7" s="111" customFormat="1">
      <c r="A211" s="172" t="s">
        <v>48</v>
      </c>
      <c r="B211" s="176" t="s">
        <v>58</v>
      </c>
      <c r="C211" s="197"/>
      <c r="D211" s="198"/>
      <c r="E211" s="305"/>
      <c r="F211" s="103">
        <v>0</v>
      </c>
      <c r="G211" s="104"/>
    </row>
    <row r="212" spans="1:7" s="111" customFormat="1" ht="36">
      <c r="A212" s="199"/>
      <c r="B212" s="203" t="s">
        <v>502</v>
      </c>
      <c r="C212" s="180"/>
      <c r="D212" s="182"/>
      <c r="E212" s="103"/>
      <c r="F212" s="103">
        <v>0</v>
      </c>
      <c r="G212" s="2"/>
    </row>
    <row r="213" spans="1:7" s="111" customFormat="1">
      <c r="A213" s="199" t="s">
        <v>8</v>
      </c>
      <c r="B213" s="187" t="s">
        <v>334</v>
      </c>
      <c r="C213" s="180">
        <v>103.11</v>
      </c>
      <c r="D213" s="182" t="s">
        <v>532</v>
      </c>
      <c r="E213" s="103"/>
      <c r="F213" s="103"/>
      <c r="G213" s="2"/>
    </row>
    <row r="214" spans="1:7" s="111" customFormat="1">
      <c r="A214" s="199" t="s">
        <v>9</v>
      </c>
      <c r="B214" s="187" t="s">
        <v>335</v>
      </c>
      <c r="C214" s="216">
        <v>209.91</v>
      </c>
      <c r="D214" s="180" t="s">
        <v>532</v>
      </c>
      <c r="E214" s="103"/>
      <c r="F214" s="103"/>
      <c r="G214" s="2"/>
    </row>
    <row r="215" spans="1:7" s="111" customFormat="1">
      <c r="A215" s="199" t="s">
        <v>10</v>
      </c>
      <c r="B215" s="187" t="s">
        <v>336</v>
      </c>
      <c r="C215" s="216">
        <v>228.04</v>
      </c>
      <c r="D215" s="180" t="s">
        <v>532</v>
      </c>
      <c r="E215" s="103"/>
      <c r="F215" s="103"/>
      <c r="G215" s="2"/>
    </row>
    <row r="216" spans="1:7" s="111" customFormat="1">
      <c r="A216" s="200"/>
      <c r="B216" s="190"/>
      <c r="C216" s="217"/>
      <c r="D216" s="191"/>
      <c r="E216" s="106"/>
      <c r="F216" s="106"/>
      <c r="G216" s="107"/>
    </row>
    <row r="217" spans="1:7" s="111" customFormat="1" ht="36">
      <c r="A217" s="218"/>
      <c r="B217" s="219" t="s">
        <v>453</v>
      </c>
      <c r="C217" s="220"/>
      <c r="D217" s="221"/>
      <c r="E217" s="109"/>
      <c r="F217" s="109"/>
      <c r="G217" s="110"/>
    </row>
    <row r="218" spans="1:7" s="105" customFormat="1">
      <c r="A218" s="182" t="s">
        <v>11</v>
      </c>
      <c r="B218" s="222" t="s">
        <v>388</v>
      </c>
      <c r="C218" s="223">
        <v>14.9</v>
      </c>
      <c r="D218" s="224" t="s">
        <v>532</v>
      </c>
      <c r="E218" s="103"/>
      <c r="F218" s="103"/>
      <c r="G218" s="2"/>
    </row>
    <row r="219" spans="1:7" s="111" customFormat="1">
      <c r="A219" s="199"/>
      <c r="B219" s="187"/>
      <c r="C219" s="216"/>
      <c r="D219" s="180"/>
      <c r="E219" s="103"/>
      <c r="F219" s="103"/>
      <c r="G219" s="2"/>
    </row>
    <row r="220" spans="1:7" s="111" customFormat="1">
      <c r="A220" s="172" t="s">
        <v>49</v>
      </c>
      <c r="B220" s="176" t="s">
        <v>83</v>
      </c>
      <c r="C220" s="197"/>
      <c r="D220" s="198"/>
      <c r="E220" s="305"/>
      <c r="F220" s="103">
        <v>0</v>
      </c>
      <c r="G220" s="104"/>
    </row>
    <row r="221" spans="1:7" s="111" customFormat="1">
      <c r="A221" s="225"/>
      <c r="B221" s="226" t="s">
        <v>87</v>
      </c>
      <c r="C221" s="197"/>
      <c r="D221" s="198"/>
      <c r="E221" s="305"/>
      <c r="F221" s="103"/>
      <c r="G221" s="104"/>
    </row>
    <row r="222" spans="1:7" s="111" customFormat="1" ht="36">
      <c r="A222" s="199"/>
      <c r="B222" s="203" t="s">
        <v>451</v>
      </c>
      <c r="C222" s="180"/>
      <c r="D222" s="182"/>
      <c r="E222" s="116"/>
      <c r="F222" s="116">
        <v>0</v>
      </c>
      <c r="G222" s="117"/>
    </row>
    <row r="223" spans="1:7" s="111" customFormat="1" ht="24">
      <c r="A223" s="199" t="s">
        <v>8</v>
      </c>
      <c r="B223" s="204" t="s">
        <v>337</v>
      </c>
      <c r="C223" s="180">
        <f>C213*2</f>
        <v>206.22</v>
      </c>
      <c r="D223" s="180" t="s">
        <v>532</v>
      </c>
      <c r="E223" s="103"/>
      <c r="F223" s="103">
        <v>0</v>
      </c>
      <c r="G223" s="2"/>
    </row>
    <row r="224" spans="1:7" s="111" customFormat="1" ht="24">
      <c r="A224" s="199" t="s">
        <v>9</v>
      </c>
      <c r="B224" s="204" t="s">
        <v>168</v>
      </c>
      <c r="C224" s="180">
        <f>C214</f>
        <v>209.91</v>
      </c>
      <c r="D224" s="180" t="s">
        <v>532</v>
      </c>
      <c r="E224" s="103"/>
      <c r="F224" s="103">
        <v>0</v>
      </c>
      <c r="G224" s="2"/>
    </row>
    <row r="225" spans="1:7" s="111" customFormat="1" ht="24">
      <c r="A225" s="199" t="s">
        <v>10</v>
      </c>
      <c r="B225" s="204" t="s">
        <v>173</v>
      </c>
      <c r="C225" s="224">
        <f>(C215*2)+C214+C218</f>
        <v>680.89</v>
      </c>
      <c r="D225" s="180" t="s">
        <v>532</v>
      </c>
      <c r="E225" s="103"/>
      <c r="F225" s="103"/>
      <c r="G225" s="2"/>
    </row>
    <row r="226" spans="1:7" s="111" customFormat="1" ht="24">
      <c r="A226" s="199" t="s">
        <v>11</v>
      </c>
      <c r="B226" s="204" t="s">
        <v>73</v>
      </c>
      <c r="C226" s="180" t="s">
        <v>333</v>
      </c>
      <c r="D226" s="180" t="s">
        <v>7</v>
      </c>
      <c r="E226" s="103"/>
      <c r="F226" s="103">
        <v>0</v>
      </c>
      <c r="G226" s="2"/>
    </row>
    <row r="227" spans="1:7" s="111" customFormat="1" ht="24">
      <c r="A227" s="199" t="s">
        <v>12</v>
      </c>
      <c r="B227" s="204" t="s">
        <v>109</v>
      </c>
      <c r="C227" s="180" t="s">
        <v>333</v>
      </c>
      <c r="D227" s="180" t="s">
        <v>7</v>
      </c>
      <c r="E227" s="103"/>
      <c r="F227" s="103"/>
      <c r="G227" s="2"/>
    </row>
    <row r="228" spans="1:7" s="111" customFormat="1">
      <c r="A228" s="199"/>
      <c r="B228" s="204"/>
      <c r="C228" s="180"/>
      <c r="D228" s="180"/>
      <c r="E228" s="103"/>
      <c r="F228" s="103"/>
      <c r="G228" s="2"/>
    </row>
    <row r="229" spans="1:7" s="111" customFormat="1">
      <c r="A229" s="225"/>
      <c r="B229" s="226" t="s">
        <v>88</v>
      </c>
      <c r="C229" s="197"/>
      <c r="D229" s="198"/>
      <c r="E229" s="305"/>
      <c r="F229" s="103"/>
      <c r="G229" s="104"/>
    </row>
    <row r="230" spans="1:7" s="111" customFormat="1" ht="60">
      <c r="A230" s="199"/>
      <c r="B230" s="203" t="s">
        <v>515</v>
      </c>
      <c r="C230" s="180"/>
      <c r="D230" s="182"/>
      <c r="E230" s="103"/>
      <c r="F230" s="103">
        <v>0</v>
      </c>
      <c r="G230" s="2"/>
    </row>
    <row r="231" spans="1:7" s="111" customFormat="1">
      <c r="A231" s="199" t="s">
        <v>13</v>
      </c>
      <c r="B231" s="227" t="s">
        <v>171</v>
      </c>
      <c r="C231" s="180">
        <f>C214</f>
        <v>209.91</v>
      </c>
      <c r="D231" s="182" t="s">
        <v>532</v>
      </c>
      <c r="E231" s="103"/>
      <c r="F231" s="103">
        <v>0</v>
      </c>
      <c r="G231" s="2"/>
    </row>
    <row r="232" spans="1:7" s="111" customFormat="1">
      <c r="A232" s="199"/>
      <c r="B232" s="203"/>
      <c r="C232" s="180"/>
      <c r="D232" s="182"/>
      <c r="E232" s="103"/>
      <c r="F232" s="103"/>
      <c r="G232" s="2"/>
    </row>
    <row r="233" spans="1:7" s="111" customFormat="1" ht="60">
      <c r="A233" s="199"/>
      <c r="B233" s="203" t="s">
        <v>524</v>
      </c>
      <c r="C233" s="224"/>
      <c r="D233" s="182"/>
      <c r="E233" s="103"/>
      <c r="F233" s="103"/>
      <c r="G233" s="2"/>
    </row>
    <row r="234" spans="1:7" s="111" customFormat="1">
      <c r="A234" s="199" t="s">
        <v>14</v>
      </c>
      <c r="B234" s="228" t="s">
        <v>172</v>
      </c>
      <c r="C234" s="224">
        <f>C225</f>
        <v>680.89</v>
      </c>
      <c r="D234" s="182" t="s">
        <v>532</v>
      </c>
      <c r="E234" s="103"/>
      <c r="F234" s="103"/>
      <c r="G234" s="2"/>
    </row>
    <row r="235" spans="1:7" s="111" customFormat="1">
      <c r="A235" s="199"/>
      <c r="B235" s="187"/>
      <c r="C235" s="180"/>
      <c r="D235" s="182"/>
      <c r="E235" s="103"/>
      <c r="F235" s="103"/>
      <c r="G235" s="2"/>
    </row>
    <row r="236" spans="1:7" s="111" customFormat="1">
      <c r="A236" s="225"/>
      <c r="B236" s="226" t="s">
        <v>89</v>
      </c>
      <c r="C236" s="197"/>
      <c r="D236" s="198"/>
      <c r="E236" s="305"/>
      <c r="F236" s="103"/>
      <c r="G236" s="104"/>
    </row>
    <row r="237" spans="1:7" s="111" customFormat="1" ht="48">
      <c r="A237" s="199"/>
      <c r="B237" s="203" t="s">
        <v>416</v>
      </c>
      <c r="C237" s="180"/>
      <c r="D237" s="182"/>
      <c r="E237" s="103"/>
      <c r="F237" s="103"/>
      <c r="G237" s="3"/>
    </row>
    <row r="238" spans="1:7" s="111" customFormat="1">
      <c r="A238" s="199" t="s">
        <v>15</v>
      </c>
      <c r="B238" s="187" t="s">
        <v>120</v>
      </c>
      <c r="C238" s="180">
        <v>30.56</v>
      </c>
      <c r="D238" s="182" t="s">
        <v>532</v>
      </c>
      <c r="E238" s="103"/>
      <c r="F238" s="103"/>
      <c r="G238" s="3"/>
    </row>
    <row r="239" spans="1:7" s="111" customFormat="1">
      <c r="A239" s="199" t="s">
        <v>61</v>
      </c>
      <c r="B239" s="187" t="s">
        <v>417</v>
      </c>
      <c r="C239" s="180">
        <f>(6.5*2.1)+(5.03*2.1)</f>
        <v>24.213000000000001</v>
      </c>
      <c r="D239" s="180" t="s">
        <v>532</v>
      </c>
      <c r="E239" s="103"/>
      <c r="F239" s="103"/>
      <c r="G239" s="3"/>
    </row>
    <row r="240" spans="1:7" s="111" customFormat="1">
      <c r="A240" s="199" t="s">
        <v>16</v>
      </c>
      <c r="B240" s="187" t="s">
        <v>175</v>
      </c>
      <c r="C240" s="180">
        <f>4.9*1.8</f>
        <v>8.82</v>
      </c>
      <c r="D240" s="180" t="s">
        <v>532</v>
      </c>
      <c r="E240" s="103"/>
      <c r="F240" s="103"/>
      <c r="G240" s="3"/>
    </row>
    <row r="241" spans="1:7" s="111" customFormat="1">
      <c r="A241" s="199"/>
      <c r="B241" s="187"/>
      <c r="C241" s="180"/>
      <c r="D241" s="180"/>
      <c r="E241" s="103"/>
      <c r="F241" s="103"/>
      <c r="G241" s="3"/>
    </row>
    <row r="242" spans="1:7" s="111" customFormat="1">
      <c r="A242" s="172" t="s">
        <v>50</v>
      </c>
      <c r="B242" s="176" t="s">
        <v>62</v>
      </c>
      <c r="C242" s="174"/>
      <c r="D242" s="174"/>
      <c r="E242" s="305"/>
      <c r="F242" s="103"/>
      <c r="G242" s="2"/>
    </row>
    <row r="243" spans="1:7" s="111" customFormat="1" ht="36">
      <c r="A243" s="199"/>
      <c r="B243" s="184" t="s">
        <v>522</v>
      </c>
      <c r="C243" s="180"/>
      <c r="D243" s="182"/>
      <c r="E243" s="103"/>
      <c r="F243" s="103"/>
      <c r="G243" s="2"/>
    </row>
    <row r="244" spans="1:7" s="111" customFormat="1">
      <c r="A244" s="199" t="s">
        <v>8</v>
      </c>
      <c r="B244" s="204" t="s">
        <v>411</v>
      </c>
      <c r="C244" s="180">
        <f>C164</f>
        <v>314.13</v>
      </c>
      <c r="D244" s="182" t="s">
        <v>532</v>
      </c>
      <c r="E244" s="103"/>
      <c r="F244" s="103"/>
      <c r="G244" s="3"/>
    </row>
    <row r="245" spans="1:7" s="105" customFormat="1">
      <c r="A245" s="199"/>
      <c r="B245" s="204"/>
      <c r="C245" s="180"/>
      <c r="D245" s="182"/>
      <c r="E245" s="103"/>
      <c r="F245" s="103"/>
      <c r="G245" s="3"/>
    </row>
    <row r="246" spans="1:7" s="111" customFormat="1" ht="60">
      <c r="A246" s="199"/>
      <c r="B246" s="229" t="s">
        <v>415</v>
      </c>
      <c r="C246" s="180"/>
      <c r="D246" s="182"/>
      <c r="E246" s="103"/>
      <c r="F246" s="103">
        <v>0</v>
      </c>
      <c r="G246" s="99"/>
    </row>
    <row r="247" spans="1:7" s="111" customFormat="1" ht="24">
      <c r="A247" s="199" t="s">
        <v>9</v>
      </c>
      <c r="B247" s="187" t="s">
        <v>207</v>
      </c>
      <c r="C247" s="180">
        <v>165.72</v>
      </c>
      <c r="D247" s="182" t="s">
        <v>532</v>
      </c>
      <c r="E247" s="103"/>
      <c r="F247" s="103">
        <v>0</v>
      </c>
      <c r="G247" s="2"/>
    </row>
    <row r="248" spans="1:7" s="111" customFormat="1">
      <c r="A248" s="199" t="s">
        <v>10</v>
      </c>
      <c r="B248" s="187" t="s">
        <v>98</v>
      </c>
      <c r="C248" s="180">
        <f>214.74*0.1</f>
        <v>21.474000000000004</v>
      </c>
      <c r="D248" s="182" t="s">
        <v>532</v>
      </c>
      <c r="E248" s="103"/>
      <c r="F248" s="103">
        <v>0</v>
      </c>
      <c r="G248" s="2"/>
    </row>
    <row r="249" spans="1:7" s="111" customFormat="1">
      <c r="A249" s="199"/>
      <c r="B249" s="187"/>
      <c r="C249" s="180"/>
      <c r="D249" s="182"/>
      <c r="E249" s="103"/>
      <c r="F249" s="103"/>
      <c r="G249" s="2"/>
    </row>
    <row r="250" spans="1:7" s="111" customFormat="1">
      <c r="A250" s="200"/>
      <c r="B250" s="190"/>
      <c r="C250" s="191"/>
      <c r="D250" s="230"/>
      <c r="E250" s="106"/>
      <c r="F250" s="106"/>
      <c r="G250" s="107"/>
    </row>
    <row r="251" spans="1:7" s="111" customFormat="1">
      <c r="A251" s="201"/>
      <c r="B251" s="231"/>
      <c r="C251" s="195"/>
      <c r="D251" s="202"/>
      <c r="E251" s="109"/>
      <c r="F251" s="109">
        <v>0</v>
      </c>
      <c r="G251" s="110"/>
    </row>
    <row r="252" spans="1:7" s="111" customFormat="1" ht="36">
      <c r="A252" s="199"/>
      <c r="B252" s="203" t="s">
        <v>428</v>
      </c>
      <c r="C252" s="180"/>
      <c r="D252" s="182"/>
      <c r="E252" s="103"/>
      <c r="F252" s="103"/>
      <c r="G252" s="2"/>
    </row>
    <row r="253" spans="1:7" s="111" customFormat="1" ht="24">
      <c r="A253" s="199" t="s">
        <v>11</v>
      </c>
      <c r="B253" s="204" t="s">
        <v>412</v>
      </c>
      <c r="C253" s="180">
        <v>159.32</v>
      </c>
      <c r="D253" s="182" t="s">
        <v>532</v>
      </c>
      <c r="E253" s="103"/>
      <c r="F253" s="103">
        <v>0</v>
      </c>
      <c r="G253" s="2"/>
    </row>
    <row r="254" spans="1:7" s="111" customFormat="1">
      <c r="A254" s="199"/>
      <c r="B254" s="146"/>
      <c r="C254" s="180"/>
      <c r="D254" s="182"/>
      <c r="E254" s="103"/>
      <c r="F254" s="103"/>
      <c r="G254" s="3"/>
    </row>
    <row r="255" spans="1:7" s="111" customFormat="1" ht="48">
      <c r="A255" s="232"/>
      <c r="B255" s="233" t="s">
        <v>176</v>
      </c>
      <c r="C255" s="234"/>
      <c r="D255" s="235"/>
      <c r="E255" s="7"/>
      <c r="F255" s="7"/>
      <c r="G255" s="1"/>
    </row>
    <row r="256" spans="1:7" s="111" customFormat="1">
      <c r="A256" s="232" t="s">
        <v>12</v>
      </c>
      <c r="B256" s="236" t="s">
        <v>177</v>
      </c>
      <c r="C256" s="234">
        <f>7.19+4.89</f>
        <v>12.08</v>
      </c>
      <c r="D256" s="235" t="s">
        <v>532</v>
      </c>
      <c r="E256" s="7"/>
      <c r="F256" s="7"/>
      <c r="G256" s="1"/>
    </row>
    <row r="257" spans="1:7" s="111" customFormat="1">
      <c r="A257" s="232"/>
      <c r="B257" s="236"/>
      <c r="C257" s="234"/>
      <c r="D257" s="235"/>
      <c r="E257" s="7"/>
      <c r="F257" s="7"/>
      <c r="G257" s="1"/>
    </row>
    <row r="258" spans="1:7" s="111" customFormat="1" ht="36">
      <c r="A258" s="232"/>
      <c r="B258" s="233" t="s">
        <v>413</v>
      </c>
      <c r="C258" s="234"/>
      <c r="D258" s="235"/>
      <c r="E258" s="7"/>
      <c r="F258" s="7"/>
      <c r="G258" s="1"/>
    </row>
    <row r="259" spans="1:7" s="111" customFormat="1">
      <c r="A259" s="232" t="s">
        <v>13</v>
      </c>
      <c r="B259" s="236" t="s">
        <v>225</v>
      </c>
      <c r="C259" s="234">
        <v>8.19</v>
      </c>
      <c r="D259" s="235" t="s">
        <v>532</v>
      </c>
      <c r="E259" s="7"/>
      <c r="F259" s="7"/>
      <c r="G259" s="1"/>
    </row>
    <row r="260" spans="1:7" s="111" customFormat="1">
      <c r="A260" s="232"/>
      <c r="B260" s="236"/>
      <c r="C260" s="234"/>
      <c r="D260" s="235"/>
      <c r="E260" s="7"/>
      <c r="F260" s="7"/>
      <c r="G260" s="1"/>
    </row>
    <row r="261" spans="1:7" s="111" customFormat="1" ht="72">
      <c r="A261" s="232"/>
      <c r="B261" s="237" t="s">
        <v>414</v>
      </c>
      <c r="C261" s="234"/>
      <c r="D261" s="235"/>
      <c r="E261" s="304"/>
      <c r="F261" s="304"/>
      <c r="G261" s="119"/>
    </row>
    <row r="262" spans="1:7" s="120" customFormat="1">
      <c r="A262" s="232" t="s">
        <v>14</v>
      </c>
      <c r="B262" s="236" t="s">
        <v>346</v>
      </c>
      <c r="C262" s="234">
        <v>8</v>
      </c>
      <c r="D262" s="235" t="s">
        <v>2</v>
      </c>
      <c r="E262" s="304"/>
      <c r="F262" s="304"/>
      <c r="G262" s="119"/>
    </row>
    <row r="263" spans="1:7" s="111" customFormat="1">
      <c r="A263" s="232"/>
      <c r="B263" s="233"/>
      <c r="C263" s="234"/>
      <c r="D263" s="235"/>
      <c r="E263" s="7"/>
      <c r="F263" s="7"/>
      <c r="G263" s="1"/>
    </row>
    <row r="264" spans="1:7" s="111" customFormat="1">
      <c r="A264" s="172" t="s">
        <v>51</v>
      </c>
      <c r="B264" s="176" t="s">
        <v>85</v>
      </c>
      <c r="C264" s="174"/>
      <c r="D264" s="174"/>
      <c r="E264" s="305"/>
      <c r="F264" s="103"/>
      <c r="G264" s="3"/>
    </row>
    <row r="265" spans="1:7" s="111" customFormat="1" ht="60">
      <c r="A265" s="199"/>
      <c r="B265" s="238" t="s">
        <v>224</v>
      </c>
      <c r="C265" s="180"/>
      <c r="D265" s="182"/>
      <c r="E265" s="103"/>
      <c r="F265" s="103"/>
      <c r="G265" s="99"/>
    </row>
    <row r="266" spans="1:7" s="111" customFormat="1">
      <c r="A266" s="199" t="s">
        <v>8</v>
      </c>
      <c r="B266" s="228" t="s">
        <v>178</v>
      </c>
      <c r="C266" s="180">
        <v>181.04</v>
      </c>
      <c r="D266" s="182" t="s">
        <v>532</v>
      </c>
      <c r="E266" s="103"/>
      <c r="F266" s="103"/>
      <c r="G266" s="3"/>
    </row>
    <row r="267" spans="1:7" s="111" customFormat="1">
      <c r="A267" s="199"/>
      <c r="B267" s="228"/>
      <c r="C267" s="180"/>
      <c r="D267" s="182"/>
      <c r="E267" s="103"/>
      <c r="F267" s="103"/>
      <c r="G267" s="3"/>
    </row>
    <row r="268" spans="1:7" s="111" customFormat="1" ht="36">
      <c r="A268" s="199"/>
      <c r="B268" s="203" t="s">
        <v>227</v>
      </c>
      <c r="C268" s="180"/>
      <c r="D268" s="182"/>
      <c r="E268" s="103"/>
      <c r="F268" s="103"/>
      <c r="G268" s="3"/>
    </row>
    <row r="269" spans="1:7" s="111" customFormat="1">
      <c r="A269" s="199" t="s">
        <v>9</v>
      </c>
      <c r="B269" s="204" t="s">
        <v>226</v>
      </c>
      <c r="C269" s="180">
        <v>3</v>
      </c>
      <c r="D269" s="182" t="s">
        <v>2</v>
      </c>
      <c r="E269" s="103"/>
      <c r="F269" s="103"/>
      <c r="G269" s="3"/>
    </row>
    <row r="270" spans="1:7" s="111" customFormat="1">
      <c r="A270" s="199"/>
      <c r="B270" s="204"/>
      <c r="C270" s="180"/>
      <c r="D270" s="182"/>
      <c r="E270" s="103"/>
      <c r="F270" s="103"/>
      <c r="G270" s="3"/>
    </row>
    <row r="271" spans="1:7" s="111" customFormat="1" ht="60">
      <c r="A271" s="199"/>
      <c r="B271" s="238" t="s">
        <v>418</v>
      </c>
      <c r="C271" s="180"/>
      <c r="D271" s="182"/>
      <c r="E271" s="103"/>
      <c r="F271" s="103"/>
      <c r="G271" s="3"/>
    </row>
    <row r="272" spans="1:7" s="111" customFormat="1">
      <c r="A272" s="199" t="s">
        <v>10</v>
      </c>
      <c r="B272" s="228" t="s">
        <v>180</v>
      </c>
      <c r="C272" s="180">
        <v>23.74</v>
      </c>
      <c r="D272" s="182" t="s">
        <v>532</v>
      </c>
      <c r="E272" s="103"/>
      <c r="F272" s="103"/>
      <c r="G272" s="3"/>
    </row>
    <row r="273" spans="1:7" s="111" customFormat="1">
      <c r="A273" s="199"/>
      <c r="B273" s="204"/>
      <c r="C273" s="180"/>
      <c r="D273" s="182"/>
      <c r="E273" s="103"/>
      <c r="F273" s="103"/>
      <c r="G273" s="3"/>
    </row>
    <row r="274" spans="1:7" s="111" customFormat="1" ht="48">
      <c r="A274" s="199"/>
      <c r="B274" s="203" t="s">
        <v>452</v>
      </c>
      <c r="C274" s="180"/>
      <c r="D274" s="182"/>
      <c r="E274" s="103"/>
      <c r="F274" s="103"/>
      <c r="G274" s="3"/>
    </row>
    <row r="275" spans="1:7" s="111" customFormat="1">
      <c r="A275" s="199" t="s">
        <v>11</v>
      </c>
      <c r="B275" s="239" t="s">
        <v>131</v>
      </c>
      <c r="C275" s="180">
        <v>201</v>
      </c>
      <c r="D275" s="182" t="s">
        <v>4</v>
      </c>
      <c r="E275" s="103"/>
      <c r="F275" s="103"/>
      <c r="G275" s="3"/>
    </row>
    <row r="276" spans="1:7" s="111" customFormat="1">
      <c r="A276" s="199"/>
      <c r="B276" s="204"/>
      <c r="C276" s="180"/>
      <c r="D276" s="182"/>
      <c r="E276" s="103"/>
      <c r="F276" s="103"/>
      <c r="G276" s="3"/>
    </row>
    <row r="277" spans="1:7" s="111" customFormat="1" ht="24">
      <c r="A277" s="199"/>
      <c r="B277" s="240" t="s">
        <v>179</v>
      </c>
      <c r="C277" s="180"/>
      <c r="D277" s="182"/>
      <c r="E277" s="103"/>
      <c r="F277" s="103"/>
      <c r="G277" s="3"/>
    </row>
    <row r="278" spans="1:7" s="111" customFormat="1">
      <c r="A278" s="199" t="s">
        <v>12</v>
      </c>
      <c r="B278" s="204" t="s">
        <v>181</v>
      </c>
      <c r="C278" s="180">
        <f>C266+C272+(C275*(6*0.025))</f>
        <v>234.93</v>
      </c>
      <c r="D278" s="182" t="s">
        <v>532</v>
      </c>
      <c r="E278" s="103"/>
      <c r="F278" s="103"/>
      <c r="G278" s="3"/>
    </row>
    <row r="279" spans="1:7" s="111" customFormat="1">
      <c r="A279" s="199"/>
      <c r="B279" s="204"/>
      <c r="C279" s="180"/>
      <c r="D279" s="182"/>
      <c r="E279" s="103"/>
      <c r="F279" s="103"/>
      <c r="G279" s="3"/>
    </row>
    <row r="280" spans="1:7" s="111" customFormat="1">
      <c r="A280" s="199"/>
      <c r="B280" s="204"/>
      <c r="C280" s="180"/>
      <c r="D280" s="182"/>
      <c r="E280" s="103"/>
      <c r="F280" s="103"/>
      <c r="G280" s="3"/>
    </row>
    <row r="281" spans="1:7" s="111" customFormat="1">
      <c r="A281" s="199"/>
      <c r="B281" s="204"/>
      <c r="C281" s="180"/>
      <c r="D281" s="182"/>
      <c r="E281" s="103"/>
      <c r="F281" s="103"/>
      <c r="G281" s="3"/>
    </row>
    <row r="282" spans="1:7" s="111" customFormat="1">
      <c r="A282" s="199"/>
      <c r="B282" s="204"/>
      <c r="C282" s="180"/>
      <c r="D282" s="182"/>
      <c r="E282" s="103"/>
      <c r="F282" s="103"/>
      <c r="G282" s="3"/>
    </row>
    <row r="283" spans="1:7" s="111" customFormat="1">
      <c r="A283" s="199"/>
      <c r="B283" s="204"/>
      <c r="C283" s="180"/>
      <c r="D283" s="182"/>
      <c r="E283" s="103"/>
      <c r="F283" s="103"/>
      <c r="G283" s="3"/>
    </row>
    <row r="284" spans="1:7" s="111" customFormat="1">
      <c r="A284" s="200"/>
      <c r="B284" s="241"/>
      <c r="C284" s="191"/>
      <c r="D284" s="230"/>
      <c r="E284" s="106"/>
      <c r="F284" s="106"/>
      <c r="G284" s="118"/>
    </row>
    <row r="285" spans="1:7" s="111" customFormat="1">
      <c r="A285" s="201"/>
      <c r="B285" s="231"/>
      <c r="C285" s="195"/>
      <c r="D285" s="202"/>
      <c r="E285" s="109"/>
      <c r="F285" s="109"/>
      <c r="G285" s="108"/>
    </row>
    <row r="286" spans="1:7" s="111" customFormat="1">
      <c r="A286" s="172" t="s">
        <v>52</v>
      </c>
      <c r="B286" s="176" t="s">
        <v>43</v>
      </c>
      <c r="C286" s="197"/>
      <c r="D286" s="198"/>
      <c r="E286" s="305"/>
      <c r="F286" s="103">
        <v>0</v>
      </c>
      <c r="G286" s="2"/>
    </row>
    <row r="287" spans="1:7" s="111" customFormat="1" ht="72">
      <c r="A287" s="199"/>
      <c r="B287" s="240" t="s">
        <v>429</v>
      </c>
      <c r="C287" s="180"/>
      <c r="D287" s="182"/>
      <c r="E287" s="103"/>
      <c r="F287" s="103">
        <v>0</v>
      </c>
      <c r="G287" s="104"/>
    </row>
    <row r="288" spans="1:7" s="111" customFormat="1">
      <c r="A288" s="199" t="s">
        <v>8</v>
      </c>
      <c r="B288" s="187" t="s">
        <v>208</v>
      </c>
      <c r="C288" s="180"/>
      <c r="D288" s="182"/>
      <c r="E288" s="103"/>
      <c r="F288" s="103">
        <v>0</v>
      </c>
      <c r="G288" s="2"/>
    </row>
    <row r="289" spans="1:7" s="111" customFormat="1" ht="24">
      <c r="A289" s="199"/>
      <c r="B289" s="187" t="s">
        <v>419</v>
      </c>
      <c r="C289" s="180"/>
      <c r="D289" s="182"/>
      <c r="E289" s="103"/>
      <c r="F289" s="103"/>
      <c r="G289" s="2"/>
    </row>
    <row r="290" spans="1:7" s="111" customFormat="1">
      <c r="A290" s="199"/>
      <c r="B290" s="187" t="s">
        <v>135</v>
      </c>
      <c r="C290" s="180">
        <v>2</v>
      </c>
      <c r="D290" s="182" t="s">
        <v>6</v>
      </c>
      <c r="E290" s="103"/>
      <c r="F290" s="103"/>
      <c r="G290" s="2"/>
    </row>
    <row r="291" spans="1:7" s="111" customFormat="1">
      <c r="A291" s="199"/>
      <c r="B291" s="187"/>
      <c r="C291" s="180"/>
      <c r="D291" s="182"/>
      <c r="E291" s="103"/>
      <c r="F291" s="103"/>
      <c r="G291" s="2"/>
    </row>
    <row r="292" spans="1:7" s="111" customFormat="1">
      <c r="A292" s="199" t="s">
        <v>9</v>
      </c>
      <c r="B292" s="187" t="s">
        <v>430</v>
      </c>
      <c r="C292" s="180"/>
      <c r="D292" s="182"/>
      <c r="E292" s="103"/>
      <c r="F292" s="103">
        <v>0</v>
      </c>
      <c r="G292" s="2"/>
    </row>
    <row r="293" spans="1:7" s="111" customFormat="1" ht="24">
      <c r="A293" s="199"/>
      <c r="B293" s="187" t="s">
        <v>432</v>
      </c>
      <c r="C293" s="180"/>
      <c r="D293" s="182"/>
      <c r="E293" s="103"/>
      <c r="F293" s="103"/>
      <c r="G293" s="2"/>
    </row>
    <row r="294" spans="1:7" s="111" customFormat="1">
      <c r="A294" s="199"/>
      <c r="B294" s="187" t="s">
        <v>135</v>
      </c>
      <c r="C294" s="180">
        <v>2</v>
      </c>
      <c r="D294" s="182" t="s">
        <v>6</v>
      </c>
      <c r="E294" s="103"/>
      <c r="F294" s="103"/>
      <c r="G294" s="2"/>
    </row>
    <row r="295" spans="1:7" s="111" customFormat="1">
      <c r="A295" s="199"/>
      <c r="B295" s="187">
        <v>0</v>
      </c>
      <c r="C295" s="180">
        <v>0</v>
      </c>
      <c r="D295" s="182">
        <v>0</v>
      </c>
      <c r="E295" s="103"/>
      <c r="F295" s="103"/>
      <c r="G295" s="2"/>
    </row>
    <row r="296" spans="1:7" s="111" customFormat="1">
      <c r="A296" s="199" t="s">
        <v>10</v>
      </c>
      <c r="B296" s="187" t="s">
        <v>0</v>
      </c>
      <c r="C296" s="180">
        <v>0</v>
      </c>
      <c r="D296" s="182">
        <v>0</v>
      </c>
      <c r="E296" s="103"/>
      <c r="F296" s="103"/>
      <c r="G296" s="2"/>
    </row>
    <row r="297" spans="1:7" s="111" customFormat="1">
      <c r="A297" s="199"/>
      <c r="B297" s="187" t="s">
        <v>420</v>
      </c>
      <c r="C297" s="180">
        <v>0</v>
      </c>
      <c r="D297" s="182">
        <v>0</v>
      </c>
      <c r="E297" s="103"/>
      <c r="F297" s="103"/>
      <c r="G297" s="2"/>
    </row>
    <row r="298" spans="1:7" s="111" customFormat="1">
      <c r="A298" s="199"/>
      <c r="B298" s="187" t="s">
        <v>210</v>
      </c>
      <c r="C298" s="180">
        <v>3</v>
      </c>
      <c r="D298" s="182" t="s">
        <v>6</v>
      </c>
      <c r="E298" s="103"/>
      <c r="F298" s="103"/>
      <c r="G298" s="2"/>
    </row>
    <row r="299" spans="1:7" s="111" customFormat="1">
      <c r="A299" s="199"/>
      <c r="B299" s="187">
        <v>0</v>
      </c>
      <c r="C299" s="180">
        <v>0</v>
      </c>
      <c r="D299" s="182">
        <v>0</v>
      </c>
      <c r="E299" s="103"/>
      <c r="F299" s="103"/>
      <c r="G299" s="2"/>
    </row>
    <row r="300" spans="1:7" s="111" customFormat="1">
      <c r="A300" s="199" t="s">
        <v>11</v>
      </c>
      <c r="B300" s="187" t="s">
        <v>431</v>
      </c>
      <c r="C300" s="180">
        <v>0</v>
      </c>
      <c r="D300" s="182">
        <v>0</v>
      </c>
      <c r="E300" s="103"/>
      <c r="F300" s="103"/>
      <c r="G300" s="2"/>
    </row>
    <row r="301" spans="1:7" s="111" customFormat="1">
      <c r="A301" s="199"/>
      <c r="B301" s="187" t="s">
        <v>433</v>
      </c>
      <c r="C301" s="180">
        <v>0</v>
      </c>
      <c r="D301" s="182">
        <v>0</v>
      </c>
      <c r="E301" s="103"/>
      <c r="F301" s="103"/>
      <c r="G301" s="2"/>
    </row>
    <row r="302" spans="1:7" s="111" customFormat="1">
      <c r="A302" s="199"/>
      <c r="B302" s="187" t="s">
        <v>210</v>
      </c>
      <c r="C302" s="180">
        <v>1</v>
      </c>
      <c r="D302" s="182" t="s">
        <v>6</v>
      </c>
      <c r="E302" s="103"/>
      <c r="F302" s="103"/>
      <c r="G302" s="2"/>
    </row>
    <row r="303" spans="1:7" s="111" customFormat="1">
      <c r="A303" s="199"/>
      <c r="B303" s="187">
        <v>0</v>
      </c>
      <c r="C303" s="180">
        <v>0</v>
      </c>
      <c r="D303" s="182">
        <v>0</v>
      </c>
      <c r="E303" s="103"/>
      <c r="F303" s="103"/>
      <c r="G303" s="2"/>
    </row>
    <row r="304" spans="1:7" s="111" customFormat="1">
      <c r="A304" s="199" t="s">
        <v>12</v>
      </c>
      <c r="B304" s="187" t="s">
        <v>94</v>
      </c>
      <c r="C304" s="180">
        <v>0</v>
      </c>
      <c r="D304" s="182">
        <v>0</v>
      </c>
      <c r="E304" s="103"/>
      <c r="F304" s="103"/>
      <c r="G304" s="2"/>
    </row>
    <row r="305" spans="1:7" s="111" customFormat="1" ht="24">
      <c r="A305" s="199"/>
      <c r="B305" s="187" t="s">
        <v>419</v>
      </c>
      <c r="C305" s="180">
        <v>0</v>
      </c>
      <c r="D305" s="182">
        <v>0</v>
      </c>
      <c r="E305" s="103"/>
      <c r="F305" s="103"/>
      <c r="G305" s="2"/>
    </row>
    <row r="306" spans="1:7" s="111" customFormat="1">
      <c r="A306" s="199"/>
      <c r="B306" s="187" t="s">
        <v>306</v>
      </c>
      <c r="C306" s="180">
        <v>2</v>
      </c>
      <c r="D306" s="182" t="s">
        <v>6</v>
      </c>
      <c r="E306" s="103"/>
      <c r="F306" s="103"/>
      <c r="G306" s="2"/>
    </row>
    <row r="307" spans="1:7" s="111" customFormat="1">
      <c r="A307" s="199"/>
      <c r="B307" s="187">
        <v>0</v>
      </c>
      <c r="C307" s="180">
        <v>0</v>
      </c>
      <c r="D307" s="182">
        <v>0</v>
      </c>
      <c r="E307" s="103"/>
      <c r="F307" s="103"/>
      <c r="G307" s="2"/>
    </row>
    <row r="308" spans="1:7" s="111" customFormat="1">
      <c r="A308" s="199" t="s">
        <v>13</v>
      </c>
      <c r="B308" s="187" t="s">
        <v>434</v>
      </c>
      <c r="C308" s="180">
        <v>0</v>
      </c>
      <c r="D308" s="182">
        <v>0</v>
      </c>
      <c r="E308" s="103"/>
      <c r="F308" s="103"/>
      <c r="G308" s="2"/>
    </row>
    <row r="309" spans="1:7" s="111" customFormat="1" ht="24">
      <c r="A309" s="199"/>
      <c r="B309" s="187" t="s">
        <v>432</v>
      </c>
      <c r="C309" s="180">
        <v>0</v>
      </c>
      <c r="D309" s="182">
        <v>0</v>
      </c>
      <c r="E309" s="103"/>
      <c r="F309" s="103"/>
      <c r="G309" s="2"/>
    </row>
    <row r="310" spans="1:7" s="111" customFormat="1">
      <c r="A310" s="199"/>
      <c r="B310" s="187" t="s">
        <v>306</v>
      </c>
      <c r="C310" s="180">
        <v>1</v>
      </c>
      <c r="D310" s="182" t="s">
        <v>6</v>
      </c>
      <c r="E310" s="103"/>
      <c r="F310" s="103"/>
      <c r="G310" s="2"/>
    </row>
    <row r="311" spans="1:7" s="111" customFormat="1">
      <c r="A311" s="199"/>
      <c r="B311" s="187">
        <v>0</v>
      </c>
      <c r="C311" s="180">
        <v>0</v>
      </c>
      <c r="D311" s="182">
        <v>0</v>
      </c>
      <c r="E311" s="103"/>
      <c r="F311" s="103"/>
      <c r="G311" s="2"/>
    </row>
    <row r="312" spans="1:7" s="111" customFormat="1">
      <c r="A312" s="199" t="s">
        <v>14</v>
      </c>
      <c r="B312" s="187" t="s">
        <v>118</v>
      </c>
      <c r="C312" s="180">
        <v>0</v>
      </c>
      <c r="D312" s="182">
        <v>0</v>
      </c>
      <c r="E312" s="103"/>
      <c r="F312" s="103"/>
      <c r="G312" s="2"/>
    </row>
    <row r="313" spans="1:7" s="111" customFormat="1">
      <c r="A313" s="199"/>
      <c r="B313" s="187" t="s">
        <v>433</v>
      </c>
      <c r="C313" s="180">
        <v>0</v>
      </c>
      <c r="D313" s="182">
        <v>0</v>
      </c>
      <c r="E313" s="103"/>
      <c r="F313" s="103"/>
      <c r="G313" s="2"/>
    </row>
    <row r="314" spans="1:7" s="111" customFormat="1">
      <c r="A314" s="199"/>
      <c r="B314" s="187" t="s">
        <v>435</v>
      </c>
      <c r="C314" s="180">
        <v>1</v>
      </c>
      <c r="D314" s="182" t="s">
        <v>6</v>
      </c>
      <c r="E314" s="103"/>
      <c r="F314" s="103"/>
      <c r="G314" s="2"/>
    </row>
    <row r="315" spans="1:7" s="111" customFormat="1">
      <c r="A315" s="199"/>
      <c r="B315" s="187">
        <v>0</v>
      </c>
      <c r="C315" s="180">
        <v>0</v>
      </c>
      <c r="D315" s="182">
        <v>0</v>
      </c>
      <c r="E315" s="103"/>
      <c r="F315" s="103"/>
      <c r="G315" s="2"/>
    </row>
    <row r="316" spans="1:7" s="111" customFormat="1">
      <c r="A316" s="199" t="s">
        <v>15</v>
      </c>
      <c r="B316" s="187" t="s">
        <v>119</v>
      </c>
      <c r="C316" s="180">
        <v>0</v>
      </c>
      <c r="D316" s="182">
        <v>0</v>
      </c>
      <c r="E316" s="103"/>
      <c r="F316" s="103"/>
      <c r="G316" s="2"/>
    </row>
    <row r="317" spans="1:7" s="111" customFormat="1" ht="24">
      <c r="A317" s="199"/>
      <c r="B317" s="187" t="s">
        <v>436</v>
      </c>
      <c r="C317" s="180">
        <v>0</v>
      </c>
      <c r="D317" s="182">
        <v>0</v>
      </c>
      <c r="E317" s="103"/>
      <c r="F317" s="103"/>
      <c r="G317" s="2"/>
    </row>
    <row r="318" spans="1:7" s="111" customFormat="1">
      <c r="A318" s="199"/>
      <c r="B318" s="187" t="s">
        <v>209</v>
      </c>
      <c r="C318" s="180">
        <v>1</v>
      </c>
      <c r="D318" s="182" t="s">
        <v>6</v>
      </c>
      <c r="E318" s="103"/>
      <c r="F318" s="103"/>
      <c r="G318" s="2"/>
    </row>
    <row r="319" spans="1:7" s="111" customFormat="1">
      <c r="A319" s="199"/>
      <c r="B319" s="187">
        <v>0</v>
      </c>
      <c r="C319" s="180">
        <v>0</v>
      </c>
      <c r="D319" s="182">
        <v>0</v>
      </c>
      <c r="E319" s="103"/>
      <c r="F319" s="103"/>
      <c r="G319" s="2"/>
    </row>
    <row r="320" spans="1:7" s="111" customFormat="1" ht="48">
      <c r="A320" s="199"/>
      <c r="B320" s="184" t="s">
        <v>437</v>
      </c>
      <c r="C320" s="180">
        <v>0</v>
      </c>
      <c r="D320" s="182">
        <v>0</v>
      </c>
      <c r="E320" s="103"/>
      <c r="F320" s="103"/>
      <c r="G320" s="2"/>
    </row>
    <row r="321" spans="1:7" s="111" customFormat="1">
      <c r="A321" s="199" t="s">
        <v>61</v>
      </c>
      <c r="B321" s="187" t="s">
        <v>93</v>
      </c>
      <c r="C321" s="180">
        <v>0</v>
      </c>
      <c r="D321" s="182">
        <v>0</v>
      </c>
      <c r="E321" s="103"/>
      <c r="F321" s="103"/>
      <c r="G321" s="2"/>
    </row>
    <row r="322" spans="1:7" s="111" customFormat="1">
      <c r="A322" s="199"/>
      <c r="B322" s="187" t="s">
        <v>213</v>
      </c>
      <c r="C322" s="180">
        <v>0</v>
      </c>
      <c r="D322" s="182">
        <v>0</v>
      </c>
      <c r="E322" s="103"/>
      <c r="F322" s="103"/>
      <c r="G322" s="2"/>
    </row>
    <row r="323" spans="1:7" s="111" customFormat="1">
      <c r="A323" s="199"/>
      <c r="B323" s="187" t="s">
        <v>214</v>
      </c>
      <c r="C323" s="180">
        <v>2</v>
      </c>
      <c r="D323" s="182" t="s">
        <v>6</v>
      </c>
      <c r="E323" s="103"/>
      <c r="F323" s="103"/>
      <c r="G323" s="2"/>
    </row>
    <row r="324" spans="1:7" s="111" customFormat="1">
      <c r="A324" s="199"/>
      <c r="B324" s="187">
        <v>0</v>
      </c>
      <c r="C324" s="180">
        <v>0</v>
      </c>
      <c r="D324" s="182">
        <v>0</v>
      </c>
      <c r="E324" s="103"/>
      <c r="F324" s="103"/>
      <c r="G324" s="2"/>
    </row>
    <row r="325" spans="1:7" s="111" customFormat="1" ht="48">
      <c r="A325" s="199"/>
      <c r="B325" s="184" t="s">
        <v>494</v>
      </c>
      <c r="C325" s="180">
        <v>0</v>
      </c>
      <c r="D325" s="182">
        <v>0</v>
      </c>
      <c r="E325" s="103"/>
      <c r="F325" s="103"/>
      <c r="G325" s="2"/>
    </row>
    <row r="326" spans="1:7" s="111" customFormat="1">
      <c r="A326" s="199" t="s">
        <v>16</v>
      </c>
      <c r="B326" s="187" t="s">
        <v>215</v>
      </c>
      <c r="C326" s="180">
        <v>0</v>
      </c>
      <c r="D326" s="182">
        <v>0</v>
      </c>
      <c r="E326" s="103"/>
      <c r="F326" s="103"/>
      <c r="G326" s="2"/>
    </row>
    <row r="327" spans="1:7" s="111" customFormat="1">
      <c r="A327" s="199"/>
      <c r="B327" s="187" t="s">
        <v>216</v>
      </c>
      <c r="C327" s="180">
        <v>0</v>
      </c>
      <c r="D327" s="182">
        <v>0</v>
      </c>
      <c r="E327" s="103"/>
      <c r="F327" s="103"/>
      <c r="G327" s="2"/>
    </row>
    <row r="328" spans="1:7" s="111" customFormat="1">
      <c r="A328" s="199"/>
      <c r="B328" s="187" t="s">
        <v>136</v>
      </c>
      <c r="C328" s="180">
        <v>2</v>
      </c>
      <c r="D328" s="182" t="s">
        <v>6</v>
      </c>
      <c r="E328" s="103"/>
      <c r="F328" s="103"/>
      <c r="G328" s="2"/>
    </row>
    <row r="329" spans="1:7" s="111" customFormat="1">
      <c r="A329" s="200"/>
      <c r="B329" s="190">
        <v>0</v>
      </c>
      <c r="C329" s="191">
        <v>0</v>
      </c>
      <c r="D329" s="230">
        <v>0</v>
      </c>
      <c r="E329" s="106"/>
      <c r="F329" s="106"/>
      <c r="G329" s="107"/>
    </row>
    <row r="330" spans="1:7" s="111" customFormat="1">
      <c r="A330" s="201" t="s">
        <v>17</v>
      </c>
      <c r="B330" s="194" t="s">
        <v>65</v>
      </c>
      <c r="C330" s="195">
        <v>0</v>
      </c>
      <c r="D330" s="202">
        <v>0</v>
      </c>
      <c r="E330" s="109"/>
      <c r="F330" s="109"/>
      <c r="G330" s="110"/>
    </row>
    <row r="331" spans="1:7" s="111" customFormat="1">
      <c r="A331" s="199"/>
      <c r="B331" s="187" t="s">
        <v>217</v>
      </c>
      <c r="C331" s="180">
        <v>0</v>
      </c>
      <c r="D331" s="182">
        <v>0</v>
      </c>
      <c r="E331" s="103"/>
      <c r="F331" s="103"/>
      <c r="G331" s="2"/>
    </row>
    <row r="332" spans="1:7" s="111" customFormat="1">
      <c r="A332" s="199"/>
      <c r="B332" s="187" t="s">
        <v>136</v>
      </c>
      <c r="C332" s="180">
        <v>3</v>
      </c>
      <c r="D332" s="182" t="s">
        <v>6</v>
      </c>
      <c r="E332" s="103"/>
      <c r="F332" s="103"/>
      <c r="G332" s="2"/>
    </row>
    <row r="333" spans="1:7" s="111" customFormat="1">
      <c r="A333" s="199"/>
      <c r="B333" s="187">
        <v>0</v>
      </c>
      <c r="C333" s="180">
        <v>0</v>
      </c>
      <c r="D333" s="182">
        <v>0</v>
      </c>
      <c r="E333" s="103"/>
      <c r="F333" s="103"/>
      <c r="G333" s="2"/>
    </row>
    <row r="334" spans="1:7" s="111" customFormat="1">
      <c r="A334" s="199" t="s">
        <v>18</v>
      </c>
      <c r="B334" s="187" t="s">
        <v>218</v>
      </c>
      <c r="C334" s="180">
        <v>0</v>
      </c>
      <c r="D334" s="182">
        <v>0</v>
      </c>
      <c r="E334" s="103"/>
      <c r="F334" s="103"/>
      <c r="G334" s="2"/>
    </row>
    <row r="335" spans="1:7" s="111" customFormat="1">
      <c r="A335" s="199"/>
      <c r="B335" s="187" t="s">
        <v>438</v>
      </c>
      <c r="C335" s="180">
        <v>0</v>
      </c>
      <c r="D335" s="182">
        <v>0</v>
      </c>
      <c r="E335" s="103"/>
      <c r="F335" s="103"/>
      <c r="G335" s="2"/>
    </row>
    <row r="336" spans="1:7" s="111" customFormat="1">
      <c r="A336" s="199"/>
      <c r="B336" s="187" t="s">
        <v>137</v>
      </c>
      <c r="C336" s="180">
        <v>4</v>
      </c>
      <c r="D336" s="182" t="s">
        <v>6</v>
      </c>
      <c r="E336" s="103"/>
      <c r="F336" s="103"/>
      <c r="G336" s="2"/>
    </row>
    <row r="337" spans="1:7" s="111" customFormat="1">
      <c r="A337" s="199"/>
      <c r="B337" s="187">
        <v>0</v>
      </c>
      <c r="C337" s="180">
        <v>0</v>
      </c>
      <c r="D337" s="182">
        <v>0</v>
      </c>
      <c r="E337" s="103"/>
      <c r="F337" s="103"/>
      <c r="G337" s="2"/>
    </row>
    <row r="338" spans="1:7" s="111" customFormat="1">
      <c r="A338" s="199" t="s">
        <v>5</v>
      </c>
      <c r="B338" s="187" t="s">
        <v>162</v>
      </c>
      <c r="C338" s="180">
        <v>0</v>
      </c>
      <c r="D338" s="182">
        <v>0</v>
      </c>
      <c r="E338" s="103"/>
      <c r="F338" s="103"/>
      <c r="G338" s="2"/>
    </row>
    <row r="339" spans="1:7" s="111" customFormat="1">
      <c r="A339" s="199"/>
      <c r="B339" s="187" t="s">
        <v>219</v>
      </c>
      <c r="C339" s="180">
        <v>0</v>
      </c>
      <c r="D339" s="182">
        <v>0</v>
      </c>
      <c r="E339" s="103"/>
      <c r="F339" s="103"/>
      <c r="G339" s="2"/>
    </row>
    <row r="340" spans="1:7" s="111" customFormat="1">
      <c r="A340" s="199"/>
      <c r="B340" s="187" t="s">
        <v>140</v>
      </c>
      <c r="C340" s="180">
        <v>1</v>
      </c>
      <c r="D340" s="182" t="s">
        <v>6</v>
      </c>
      <c r="E340" s="103"/>
      <c r="F340" s="103"/>
      <c r="G340" s="2"/>
    </row>
    <row r="341" spans="1:7" s="111" customFormat="1">
      <c r="A341" s="199"/>
      <c r="B341" s="187">
        <v>0</v>
      </c>
      <c r="C341" s="180">
        <v>0</v>
      </c>
      <c r="D341" s="182">
        <v>0</v>
      </c>
      <c r="E341" s="103"/>
      <c r="F341" s="103"/>
      <c r="G341" s="2"/>
    </row>
    <row r="342" spans="1:7" s="111" customFormat="1">
      <c r="A342" s="199" t="s">
        <v>19</v>
      </c>
      <c r="B342" s="187" t="s">
        <v>79</v>
      </c>
      <c r="C342" s="180">
        <v>0</v>
      </c>
      <c r="D342" s="182">
        <v>0</v>
      </c>
      <c r="E342" s="103"/>
      <c r="F342" s="103"/>
      <c r="G342" s="2"/>
    </row>
    <row r="343" spans="1:7" s="111" customFormat="1">
      <c r="A343" s="199"/>
      <c r="B343" s="187" t="s">
        <v>220</v>
      </c>
      <c r="C343" s="180">
        <v>0</v>
      </c>
      <c r="D343" s="182">
        <v>0</v>
      </c>
      <c r="E343" s="103"/>
      <c r="F343" s="103"/>
      <c r="G343" s="2"/>
    </row>
    <row r="344" spans="1:7" s="111" customFormat="1">
      <c r="A344" s="199"/>
      <c r="B344" s="187" t="s">
        <v>221</v>
      </c>
      <c r="C344" s="180">
        <v>1</v>
      </c>
      <c r="D344" s="182" t="s">
        <v>6</v>
      </c>
      <c r="E344" s="103"/>
      <c r="F344" s="103"/>
      <c r="G344" s="2"/>
    </row>
    <row r="345" spans="1:7" s="111" customFormat="1">
      <c r="A345" s="199"/>
      <c r="B345" s="187"/>
      <c r="C345" s="180"/>
      <c r="D345" s="182"/>
      <c r="E345" s="103"/>
      <c r="F345" s="103"/>
      <c r="G345" s="2"/>
    </row>
    <row r="346" spans="1:7" s="111" customFormat="1">
      <c r="A346" s="199" t="s">
        <v>20</v>
      </c>
      <c r="B346" s="187" t="s">
        <v>439</v>
      </c>
      <c r="C346" s="180">
        <v>0</v>
      </c>
      <c r="D346" s="182">
        <v>0</v>
      </c>
      <c r="E346" s="103"/>
      <c r="F346" s="103"/>
      <c r="G346" s="2"/>
    </row>
    <row r="347" spans="1:7" s="111" customFormat="1">
      <c r="A347" s="199"/>
      <c r="B347" s="187" t="s">
        <v>440</v>
      </c>
      <c r="C347" s="180">
        <v>0</v>
      </c>
      <c r="D347" s="182">
        <v>0</v>
      </c>
      <c r="E347" s="103"/>
      <c r="F347" s="103"/>
      <c r="G347" s="2"/>
    </row>
    <row r="348" spans="1:7" s="111" customFormat="1">
      <c r="A348" s="199"/>
      <c r="B348" s="187" t="s">
        <v>441</v>
      </c>
      <c r="C348" s="180">
        <v>1</v>
      </c>
      <c r="D348" s="182" t="s">
        <v>6</v>
      </c>
      <c r="E348" s="103"/>
      <c r="F348" s="103"/>
      <c r="G348" s="2"/>
    </row>
    <row r="349" spans="1:7" s="111" customFormat="1">
      <c r="A349" s="199"/>
      <c r="B349" s="187">
        <v>0</v>
      </c>
      <c r="C349" s="180">
        <v>0</v>
      </c>
      <c r="D349" s="182">
        <v>0</v>
      </c>
      <c r="E349" s="103"/>
      <c r="F349" s="103"/>
      <c r="G349" s="2"/>
    </row>
    <row r="350" spans="1:7" s="111" customFormat="1">
      <c r="A350" s="199" t="s">
        <v>21</v>
      </c>
      <c r="B350" s="187" t="s">
        <v>442</v>
      </c>
      <c r="C350" s="180">
        <v>0</v>
      </c>
      <c r="D350" s="182">
        <v>0</v>
      </c>
      <c r="E350" s="103"/>
      <c r="F350" s="103"/>
      <c r="G350" s="2"/>
    </row>
    <row r="351" spans="1:7" s="111" customFormat="1">
      <c r="A351" s="199"/>
      <c r="B351" s="187" t="s">
        <v>443</v>
      </c>
      <c r="C351" s="180">
        <v>0</v>
      </c>
      <c r="D351" s="182">
        <v>0</v>
      </c>
      <c r="E351" s="103"/>
      <c r="F351" s="103"/>
      <c r="G351" s="2"/>
    </row>
    <row r="352" spans="1:7" s="111" customFormat="1">
      <c r="A352" s="199"/>
      <c r="B352" s="187" t="s">
        <v>221</v>
      </c>
      <c r="C352" s="180">
        <v>1</v>
      </c>
      <c r="D352" s="182" t="s">
        <v>6</v>
      </c>
      <c r="E352" s="103"/>
      <c r="F352" s="103"/>
      <c r="G352" s="2"/>
    </row>
    <row r="353" spans="1:7" s="111" customFormat="1">
      <c r="A353" s="199"/>
      <c r="B353" s="187"/>
      <c r="C353" s="180"/>
      <c r="D353" s="182"/>
      <c r="E353" s="103"/>
      <c r="F353" s="103"/>
      <c r="G353" s="2"/>
    </row>
    <row r="354" spans="1:7" s="111" customFormat="1">
      <c r="A354" s="199" t="s">
        <v>22</v>
      </c>
      <c r="B354" s="187" t="s">
        <v>222</v>
      </c>
      <c r="C354" s="180">
        <v>0</v>
      </c>
      <c r="D354" s="182">
        <v>0</v>
      </c>
      <c r="E354" s="103"/>
      <c r="F354" s="103"/>
      <c r="G354" s="2"/>
    </row>
    <row r="355" spans="1:7" s="111" customFormat="1">
      <c r="A355" s="199"/>
      <c r="B355" s="187" t="s">
        <v>223</v>
      </c>
      <c r="C355" s="180">
        <v>0</v>
      </c>
      <c r="D355" s="182">
        <v>0</v>
      </c>
      <c r="E355" s="103"/>
      <c r="F355" s="103"/>
      <c r="G355" s="2"/>
    </row>
    <row r="356" spans="1:7" s="111" customFormat="1">
      <c r="A356" s="199"/>
      <c r="B356" s="187" t="s">
        <v>138</v>
      </c>
      <c r="C356" s="180">
        <v>7</v>
      </c>
      <c r="D356" s="182" t="s">
        <v>6</v>
      </c>
      <c r="E356" s="103"/>
      <c r="F356" s="103"/>
      <c r="G356" s="2"/>
    </row>
    <row r="357" spans="1:7" s="111" customFormat="1">
      <c r="A357" s="199"/>
      <c r="B357" s="187">
        <v>0</v>
      </c>
      <c r="C357" s="180">
        <v>0</v>
      </c>
      <c r="D357" s="182">
        <v>0</v>
      </c>
      <c r="E357" s="103"/>
      <c r="F357" s="103"/>
      <c r="G357" s="2"/>
    </row>
    <row r="358" spans="1:7" s="111" customFormat="1">
      <c r="A358" s="199" t="s">
        <v>23</v>
      </c>
      <c r="B358" s="187" t="s">
        <v>97</v>
      </c>
      <c r="C358" s="180">
        <v>0</v>
      </c>
      <c r="D358" s="182">
        <v>0</v>
      </c>
      <c r="E358" s="103"/>
      <c r="F358" s="103"/>
      <c r="G358" s="2"/>
    </row>
    <row r="359" spans="1:7" s="111" customFormat="1">
      <c r="A359" s="199"/>
      <c r="B359" s="187" t="s">
        <v>493</v>
      </c>
      <c r="C359" s="180">
        <v>0</v>
      </c>
      <c r="D359" s="182">
        <v>0</v>
      </c>
      <c r="E359" s="103"/>
      <c r="F359" s="103"/>
      <c r="G359" s="2"/>
    </row>
    <row r="360" spans="1:7" s="111" customFormat="1">
      <c r="A360" s="199"/>
      <c r="B360" s="187" t="s">
        <v>139</v>
      </c>
      <c r="C360" s="180">
        <v>3</v>
      </c>
      <c r="D360" s="182" t="s">
        <v>6</v>
      </c>
      <c r="E360" s="103"/>
      <c r="F360" s="103"/>
      <c r="G360" s="2"/>
    </row>
    <row r="361" spans="1:7" s="111" customFormat="1">
      <c r="A361" s="199"/>
      <c r="B361" s="187"/>
      <c r="C361" s="180"/>
      <c r="D361" s="182"/>
      <c r="E361" s="103"/>
      <c r="F361" s="103"/>
      <c r="G361" s="2"/>
    </row>
    <row r="362" spans="1:7" s="111" customFormat="1">
      <c r="A362" s="199" t="s">
        <v>24</v>
      </c>
      <c r="B362" s="242" t="s">
        <v>444</v>
      </c>
      <c r="C362" s="180">
        <v>1</v>
      </c>
      <c r="D362" s="182" t="s">
        <v>6</v>
      </c>
      <c r="E362" s="112"/>
      <c r="F362" s="112"/>
      <c r="G362" s="113"/>
    </row>
    <row r="363" spans="1:7" s="111" customFormat="1">
      <c r="A363" s="199"/>
      <c r="B363" s="187" t="s">
        <v>312</v>
      </c>
      <c r="C363" s="180"/>
      <c r="D363" s="182"/>
      <c r="E363" s="103"/>
      <c r="F363" s="103"/>
      <c r="G363" s="2"/>
    </row>
    <row r="364" spans="1:7" s="111" customFormat="1">
      <c r="A364" s="199"/>
      <c r="B364" s="187"/>
      <c r="C364" s="180"/>
      <c r="D364" s="182"/>
      <c r="E364" s="103"/>
      <c r="F364" s="103"/>
      <c r="G364" s="2"/>
    </row>
    <row r="365" spans="1:7" s="111" customFormat="1">
      <c r="A365" s="199"/>
      <c r="B365" s="184" t="s">
        <v>406</v>
      </c>
      <c r="C365" s="180"/>
      <c r="D365" s="182"/>
      <c r="E365" s="103"/>
      <c r="F365" s="103"/>
      <c r="G365" s="2"/>
    </row>
    <row r="366" spans="1:7" s="111" customFormat="1">
      <c r="A366" s="199" t="s">
        <v>78</v>
      </c>
      <c r="B366" s="187" t="s">
        <v>445</v>
      </c>
      <c r="C366" s="180">
        <f>(47.55*0.15*0.15)*2</f>
        <v>2.1397499999999998</v>
      </c>
      <c r="D366" s="182" t="s">
        <v>534</v>
      </c>
      <c r="E366" s="103"/>
      <c r="F366" s="103"/>
      <c r="G366" s="2"/>
    </row>
    <row r="367" spans="1:7" s="111" customFormat="1">
      <c r="A367" s="199"/>
      <c r="B367" s="184"/>
      <c r="C367" s="180"/>
      <c r="D367" s="182"/>
      <c r="E367" s="103"/>
      <c r="F367" s="103"/>
      <c r="G367" s="2"/>
    </row>
    <row r="368" spans="1:7" s="111" customFormat="1">
      <c r="A368" s="199"/>
      <c r="B368" s="184" t="s">
        <v>105</v>
      </c>
      <c r="C368" s="180"/>
      <c r="D368" s="182"/>
      <c r="E368" s="103"/>
      <c r="F368" s="103"/>
      <c r="G368" s="2"/>
    </row>
    <row r="369" spans="1:7" s="111" customFormat="1">
      <c r="A369" s="199" t="s">
        <v>63</v>
      </c>
      <c r="B369" s="187" t="s">
        <v>446</v>
      </c>
      <c r="C369" s="180">
        <f>(47.55*0.15*2)*2</f>
        <v>28.529999999999998</v>
      </c>
      <c r="D369" s="182" t="s">
        <v>532</v>
      </c>
      <c r="E369" s="103"/>
      <c r="F369" s="103"/>
      <c r="G369" s="2"/>
    </row>
    <row r="370" spans="1:7" s="111" customFormat="1">
      <c r="A370" s="199"/>
      <c r="B370" s="184"/>
      <c r="C370" s="180"/>
      <c r="D370" s="182"/>
      <c r="E370" s="103"/>
      <c r="F370" s="103"/>
      <c r="G370" s="2"/>
    </row>
    <row r="371" spans="1:7" s="111" customFormat="1">
      <c r="A371" s="199"/>
      <c r="B371" s="184" t="s">
        <v>106</v>
      </c>
      <c r="C371" s="180"/>
      <c r="D371" s="182"/>
      <c r="E371" s="103"/>
      <c r="F371" s="103"/>
      <c r="G371" s="2"/>
    </row>
    <row r="372" spans="1:7" s="111" customFormat="1">
      <c r="A372" s="199"/>
      <c r="B372" s="187" t="s">
        <v>446</v>
      </c>
      <c r="C372" s="180"/>
      <c r="D372" s="182"/>
      <c r="E372" s="103"/>
      <c r="F372" s="103"/>
      <c r="G372" s="2"/>
    </row>
    <row r="373" spans="1:7" s="111" customFormat="1">
      <c r="A373" s="199" t="s">
        <v>64</v>
      </c>
      <c r="B373" s="187" t="s">
        <v>107</v>
      </c>
      <c r="C373" s="180">
        <v>234.71</v>
      </c>
      <c r="D373" s="182" t="s">
        <v>3</v>
      </c>
      <c r="E373" s="103"/>
      <c r="F373" s="103"/>
      <c r="G373" s="2"/>
    </row>
    <row r="374" spans="1:7" s="111" customFormat="1">
      <c r="A374" s="199" t="s">
        <v>95</v>
      </c>
      <c r="B374" s="187" t="s">
        <v>447</v>
      </c>
      <c r="C374" s="180">
        <v>19.7</v>
      </c>
      <c r="D374" s="182" t="s">
        <v>3</v>
      </c>
      <c r="E374" s="103"/>
      <c r="F374" s="103"/>
      <c r="G374" s="2"/>
    </row>
    <row r="375" spans="1:7" s="111" customFormat="1">
      <c r="A375" s="199"/>
      <c r="B375" s="187"/>
      <c r="C375" s="180"/>
      <c r="D375" s="182"/>
      <c r="E375" s="103"/>
      <c r="F375" s="103"/>
      <c r="G375" s="2"/>
    </row>
    <row r="376" spans="1:7" s="111" customFormat="1" ht="38.25">
      <c r="A376" s="199"/>
      <c r="B376" s="243" t="s">
        <v>543</v>
      </c>
      <c r="C376" s="180"/>
      <c r="D376" s="182"/>
      <c r="E376" s="103"/>
      <c r="F376" s="103"/>
      <c r="G376" s="2"/>
    </row>
    <row r="377" spans="1:7" s="111" customFormat="1" ht="12.75">
      <c r="A377" s="199"/>
      <c r="B377" s="244" t="s">
        <v>535</v>
      </c>
      <c r="C377" s="180"/>
      <c r="D377" s="182"/>
      <c r="E377" s="103"/>
      <c r="F377" s="103"/>
      <c r="G377" s="2"/>
    </row>
    <row r="378" spans="1:7" s="111" customFormat="1">
      <c r="A378" s="199" t="s">
        <v>96</v>
      </c>
      <c r="B378" s="187" t="s">
        <v>215</v>
      </c>
      <c r="C378" s="180">
        <v>0</v>
      </c>
      <c r="D378" s="182">
        <v>0</v>
      </c>
      <c r="E378" s="103"/>
      <c r="F378" s="103"/>
      <c r="G378" s="2"/>
    </row>
    <row r="379" spans="1:7" s="111" customFormat="1">
      <c r="A379" s="199"/>
      <c r="B379" s="187" t="s">
        <v>536</v>
      </c>
      <c r="C379" s="180">
        <v>2</v>
      </c>
      <c r="D379" s="182" t="s">
        <v>6</v>
      </c>
      <c r="E379" s="103"/>
      <c r="F379" s="103"/>
      <c r="G379" s="2"/>
    </row>
    <row r="380" spans="1:7" s="111" customFormat="1">
      <c r="A380" s="199"/>
      <c r="B380" s="187"/>
      <c r="C380" s="180"/>
      <c r="D380" s="182"/>
      <c r="E380" s="103"/>
      <c r="F380" s="103"/>
      <c r="G380" s="2"/>
    </row>
    <row r="381" spans="1:7" s="111" customFormat="1">
      <c r="A381" s="199" t="s">
        <v>169</v>
      </c>
      <c r="B381" s="187" t="s">
        <v>65</v>
      </c>
      <c r="C381" s="180">
        <v>0</v>
      </c>
      <c r="D381" s="182">
        <v>0</v>
      </c>
      <c r="E381" s="103"/>
      <c r="F381" s="103"/>
      <c r="G381" s="2"/>
    </row>
    <row r="382" spans="1:7" s="111" customFormat="1">
      <c r="A382" s="199"/>
      <c r="B382" s="187" t="s">
        <v>536</v>
      </c>
      <c r="C382" s="180">
        <v>1</v>
      </c>
      <c r="D382" s="182" t="s">
        <v>6</v>
      </c>
      <c r="E382" s="103"/>
      <c r="F382" s="103"/>
      <c r="G382" s="2"/>
    </row>
    <row r="383" spans="1:7" s="111" customFormat="1">
      <c r="A383" s="199"/>
      <c r="B383" s="187"/>
      <c r="C383" s="180"/>
      <c r="D383" s="182"/>
      <c r="E383" s="103"/>
      <c r="F383" s="103"/>
      <c r="G383" s="2"/>
    </row>
    <row r="384" spans="1:7" s="111" customFormat="1">
      <c r="A384" s="199" t="s">
        <v>189</v>
      </c>
      <c r="B384" s="187" t="s">
        <v>119</v>
      </c>
      <c r="C384" s="180">
        <v>0</v>
      </c>
      <c r="D384" s="182">
        <v>0</v>
      </c>
      <c r="E384" s="103"/>
      <c r="F384" s="103"/>
      <c r="G384" s="2"/>
    </row>
    <row r="385" spans="1:7" s="111" customFormat="1">
      <c r="A385" s="199"/>
      <c r="B385" s="187" t="s">
        <v>537</v>
      </c>
      <c r="C385" s="180">
        <v>1</v>
      </c>
      <c r="D385" s="182" t="s">
        <v>6</v>
      </c>
      <c r="E385" s="103"/>
      <c r="F385" s="103"/>
      <c r="G385" s="2"/>
    </row>
    <row r="386" spans="1:7" s="111" customFormat="1">
      <c r="A386" s="199"/>
      <c r="B386" s="187"/>
      <c r="C386" s="180"/>
      <c r="D386" s="182"/>
      <c r="E386" s="103"/>
      <c r="F386" s="103"/>
      <c r="G386" s="2"/>
    </row>
    <row r="387" spans="1:7" s="111" customFormat="1">
      <c r="A387" s="199"/>
      <c r="B387" s="187"/>
      <c r="C387" s="180"/>
      <c r="D387" s="182"/>
      <c r="E387" s="103"/>
      <c r="F387" s="103"/>
      <c r="G387" s="2"/>
    </row>
    <row r="388" spans="1:7" s="111" customFormat="1">
      <c r="A388" s="200"/>
      <c r="B388" s="190"/>
      <c r="C388" s="191"/>
      <c r="D388" s="230"/>
      <c r="E388" s="106"/>
      <c r="F388" s="106"/>
      <c r="G388" s="107"/>
    </row>
    <row r="389" spans="1:7" s="111" customFormat="1">
      <c r="A389" s="201"/>
      <c r="B389" s="194"/>
      <c r="C389" s="195"/>
      <c r="D389" s="202"/>
      <c r="E389" s="109"/>
      <c r="F389" s="109"/>
      <c r="G389" s="110"/>
    </row>
    <row r="390" spans="1:7" s="111" customFormat="1" ht="12.75">
      <c r="A390" s="199"/>
      <c r="B390" s="244" t="s">
        <v>538</v>
      </c>
      <c r="C390" s="180"/>
      <c r="D390" s="182"/>
      <c r="E390" s="103"/>
      <c r="F390" s="103"/>
      <c r="G390" s="2"/>
    </row>
    <row r="391" spans="1:7" s="111" customFormat="1">
      <c r="A391" s="199" t="s">
        <v>190</v>
      </c>
      <c r="B391" s="187" t="s">
        <v>79</v>
      </c>
      <c r="C391" s="180">
        <v>0</v>
      </c>
      <c r="D391" s="182">
        <v>0</v>
      </c>
      <c r="E391" s="103"/>
      <c r="F391" s="103"/>
      <c r="G391" s="2"/>
    </row>
    <row r="392" spans="1:7" s="111" customFormat="1">
      <c r="A392" s="199"/>
      <c r="B392" s="187" t="s">
        <v>539</v>
      </c>
      <c r="C392" s="180">
        <v>1</v>
      </c>
      <c r="D392" s="182" t="s">
        <v>6</v>
      </c>
      <c r="E392" s="103"/>
      <c r="F392" s="103"/>
      <c r="G392" s="2"/>
    </row>
    <row r="393" spans="1:7" s="111" customFormat="1">
      <c r="A393" s="199"/>
      <c r="B393" s="187"/>
      <c r="C393" s="180"/>
      <c r="D393" s="182"/>
      <c r="E393" s="103"/>
      <c r="F393" s="103"/>
      <c r="G393" s="2"/>
    </row>
    <row r="394" spans="1:7" s="111" customFormat="1">
      <c r="A394" s="199" t="s">
        <v>191</v>
      </c>
      <c r="B394" s="187" t="s">
        <v>442</v>
      </c>
      <c r="C394" s="180">
        <v>0</v>
      </c>
      <c r="D394" s="182">
        <v>0</v>
      </c>
      <c r="E394" s="103"/>
      <c r="F394" s="103"/>
      <c r="G394" s="2"/>
    </row>
    <row r="395" spans="1:7" s="111" customFormat="1">
      <c r="A395" s="199"/>
      <c r="B395" s="187" t="s">
        <v>540</v>
      </c>
      <c r="C395" s="180">
        <v>1</v>
      </c>
      <c r="D395" s="182" t="s">
        <v>6</v>
      </c>
      <c r="E395" s="103"/>
      <c r="F395" s="103"/>
      <c r="G395" s="2"/>
    </row>
    <row r="396" spans="1:7" s="111" customFormat="1" ht="12.75">
      <c r="A396" s="199"/>
      <c r="B396" s="244"/>
      <c r="C396" s="180"/>
      <c r="D396" s="182"/>
      <c r="E396" s="103"/>
      <c r="F396" s="103"/>
      <c r="G396" s="2"/>
    </row>
    <row r="397" spans="1:7" s="111" customFormat="1" ht="38.25">
      <c r="A397" s="199"/>
      <c r="B397" s="243" t="s">
        <v>544</v>
      </c>
      <c r="C397" s="180"/>
      <c r="D397" s="182"/>
      <c r="E397" s="103"/>
      <c r="F397" s="103"/>
      <c r="G397" s="2"/>
    </row>
    <row r="398" spans="1:7" s="111" customFormat="1" ht="12.75">
      <c r="A398" s="199"/>
      <c r="B398" s="243"/>
      <c r="C398" s="180"/>
      <c r="D398" s="182"/>
      <c r="E398" s="103"/>
      <c r="F398" s="103"/>
      <c r="G398" s="2"/>
    </row>
    <row r="399" spans="1:7" s="111" customFormat="1" ht="12.75">
      <c r="A399" s="199"/>
      <c r="B399" s="244" t="s">
        <v>541</v>
      </c>
      <c r="C399" s="180"/>
      <c r="D399" s="182"/>
      <c r="E399" s="103"/>
      <c r="F399" s="103"/>
      <c r="G399" s="2"/>
    </row>
    <row r="400" spans="1:7" s="111" customFormat="1">
      <c r="A400" s="199" t="s">
        <v>192</v>
      </c>
      <c r="B400" s="187" t="s">
        <v>218</v>
      </c>
      <c r="C400" s="180">
        <v>0</v>
      </c>
      <c r="D400" s="182">
        <v>0</v>
      </c>
      <c r="E400" s="103"/>
      <c r="F400" s="103"/>
      <c r="G400" s="2"/>
    </row>
    <row r="401" spans="1:7" s="111" customFormat="1">
      <c r="A401" s="199"/>
      <c r="B401" s="187" t="s">
        <v>548</v>
      </c>
      <c r="C401" s="180">
        <v>2</v>
      </c>
      <c r="D401" s="182" t="s">
        <v>6</v>
      </c>
      <c r="E401" s="103"/>
      <c r="F401" s="103"/>
      <c r="G401" s="2"/>
    </row>
    <row r="402" spans="1:7" s="111" customFormat="1">
      <c r="A402" s="199"/>
      <c r="B402" s="187"/>
      <c r="C402" s="180"/>
      <c r="D402" s="182"/>
      <c r="E402" s="103"/>
      <c r="F402" s="103"/>
      <c r="G402" s="2"/>
    </row>
    <row r="403" spans="1:7" s="111" customFormat="1" ht="12.75">
      <c r="A403" s="199"/>
      <c r="B403" s="244" t="s">
        <v>542</v>
      </c>
      <c r="C403" s="180"/>
      <c r="D403" s="182"/>
      <c r="E403" s="103"/>
      <c r="F403" s="103"/>
      <c r="G403" s="2"/>
    </row>
    <row r="404" spans="1:7" s="111" customFormat="1">
      <c r="A404" s="199" t="s">
        <v>324</v>
      </c>
      <c r="B404" s="187" t="s">
        <v>439</v>
      </c>
      <c r="C404" s="180">
        <v>0</v>
      </c>
      <c r="D404" s="182">
        <v>0</v>
      </c>
      <c r="E404" s="103"/>
      <c r="F404" s="103"/>
      <c r="G404" s="2"/>
    </row>
    <row r="405" spans="1:7" s="111" customFormat="1">
      <c r="A405" s="199"/>
      <c r="B405" s="187" t="s">
        <v>549</v>
      </c>
      <c r="C405" s="180">
        <v>1</v>
      </c>
      <c r="D405" s="182" t="s">
        <v>6</v>
      </c>
      <c r="E405" s="103"/>
      <c r="F405" s="103"/>
      <c r="G405" s="2"/>
    </row>
    <row r="406" spans="1:7" s="111" customFormat="1">
      <c r="A406" s="199"/>
      <c r="B406" s="187"/>
      <c r="C406" s="180"/>
      <c r="D406" s="182"/>
      <c r="E406" s="103"/>
      <c r="F406" s="103"/>
      <c r="G406" s="2"/>
    </row>
    <row r="407" spans="1:7" s="111" customFormat="1" ht="24">
      <c r="A407" s="245" t="s">
        <v>68</v>
      </c>
      <c r="B407" s="246" t="s">
        <v>74</v>
      </c>
      <c r="C407" s="180"/>
      <c r="D407" s="182"/>
      <c r="E407" s="306"/>
      <c r="F407" s="103"/>
      <c r="G407" s="2"/>
    </row>
    <row r="408" spans="1:7" s="111" customFormat="1" ht="72">
      <c r="A408" s="199"/>
      <c r="B408" s="237" t="s">
        <v>340</v>
      </c>
      <c r="C408" s="180"/>
      <c r="D408" s="182"/>
      <c r="E408" s="306"/>
      <c r="F408" s="103"/>
      <c r="G408" s="121"/>
    </row>
    <row r="409" spans="1:7" s="111" customFormat="1">
      <c r="A409" s="199"/>
      <c r="B409" s="184"/>
      <c r="C409" s="180"/>
      <c r="D409" s="182"/>
      <c r="E409" s="306"/>
      <c r="F409" s="103"/>
      <c r="G409" s="121"/>
    </row>
    <row r="410" spans="1:7" s="111" customFormat="1">
      <c r="A410" s="199"/>
      <c r="B410" s="186" t="s">
        <v>75</v>
      </c>
      <c r="C410" s="180"/>
      <c r="D410" s="182"/>
      <c r="E410" s="306"/>
      <c r="F410" s="103"/>
      <c r="G410" s="121"/>
    </row>
    <row r="411" spans="1:7" s="111" customFormat="1">
      <c r="A411" s="199" t="s">
        <v>8</v>
      </c>
      <c r="B411" s="187" t="s">
        <v>236</v>
      </c>
      <c r="C411" s="180">
        <v>1</v>
      </c>
      <c r="D411" s="182" t="s">
        <v>67</v>
      </c>
      <c r="E411" s="306"/>
      <c r="F411" s="103"/>
      <c r="G411" s="121"/>
    </row>
    <row r="412" spans="1:7" s="111" customFormat="1">
      <c r="A412" s="199" t="s">
        <v>9</v>
      </c>
      <c r="B412" s="187" t="s">
        <v>130</v>
      </c>
      <c r="C412" s="180">
        <v>10</v>
      </c>
      <c r="D412" s="182" t="s">
        <v>67</v>
      </c>
      <c r="E412" s="306"/>
      <c r="F412" s="103"/>
      <c r="G412" s="121"/>
    </row>
    <row r="413" spans="1:7" s="111" customFormat="1">
      <c r="A413" s="199" t="s">
        <v>10</v>
      </c>
      <c r="B413" s="247" t="s">
        <v>423</v>
      </c>
      <c r="C413" s="180">
        <v>11</v>
      </c>
      <c r="D413" s="182" t="s">
        <v>67</v>
      </c>
      <c r="E413" s="306"/>
      <c r="F413" s="103"/>
      <c r="G413" s="121"/>
    </row>
    <row r="414" spans="1:7" s="111" customFormat="1">
      <c r="A414" s="199" t="s">
        <v>11</v>
      </c>
      <c r="B414" s="247" t="s">
        <v>368</v>
      </c>
      <c r="C414" s="180">
        <v>52</v>
      </c>
      <c r="D414" s="182" t="s">
        <v>67</v>
      </c>
      <c r="E414" s="306"/>
      <c r="F414" s="103"/>
      <c r="G414" s="121"/>
    </row>
    <row r="415" spans="1:7" s="111" customFormat="1">
      <c r="A415" s="199" t="s">
        <v>12</v>
      </c>
      <c r="B415" s="247" t="s">
        <v>421</v>
      </c>
      <c r="C415" s="180">
        <v>2</v>
      </c>
      <c r="D415" s="182" t="s">
        <v>67</v>
      </c>
      <c r="E415" s="306"/>
      <c r="F415" s="103"/>
      <c r="G415" s="121"/>
    </row>
    <row r="416" spans="1:7" s="111" customFormat="1" ht="24">
      <c r="A416" s="199" t="s">
        <v>13</v>
      </c>
      <c r="B416" s="247" t="s">
        <v>371</v>
      </c>
      <c r="C416" s="180">
        <v>13</v>
      </c>
      <c r="D416" s="182" t="s">
        <v>67</v>
      </c>
      <c r="E416" s="306"/>
      <c r="F416" s="103"/>
      <c r="G416" s="121"/>
    </row>
    <row r="417" spans="1:7" s="111" customFormat="1">
      <c r="A417" s="199" t="s">
        <v>14</v>
      </c>
      <c r="B417" s="187" t="s">
        <v>369</v>
      </c>
      <c r="C417" s="180">
        <v>5</v>
      </c>
      <c r="D417" s="182" t="s">
        <v>67</v>
      </c>
      <c r="E417" s="306"/>
      <c r="F417" s="103"/>
      <c r="G417" s="121"/>
    </row>
    <row r="418" spans="1:7" s="111" customFormat="1">
      <c r="A418" s="199" t="s">
        <v>15</v>
      </c>
      <c r="B418" s="187" t="s">
        <v>370</v>
      </c>
      <c r="C418" s="180">
        <v>3</v>
      </c>
      <c r="D418" s="182" t="s">
        <v>67</v>
      </c>
      <c r="E418" s="306"/>
      <c r="F418" s="103"/>
      <c r="G418" s="121"/>
    </row>
    <row r="419" spans="1:7" s="111" customFormat="1">
      <c r="A419" s="199" t="s">
        <v>61</v>
      </c>
      <c r="B419" s="247" t="s">
        <v>237</v>
      </c>
      <c r="C419" s="180">
        <v>3</v>
      </c>
      <c r="D419" s="182" t="s">
        <v>67</v>
      </c>
      <c r="E419" s="306"/>
      <c r="F419" s="103"/>
      <c r="G419" s="121"/>
    </row>
    <row r="420" spans="1:7" s="111" customFormat="1">
      <c r="A420" s="199" t="s">
        <v>16</v>
      </c>
      <c r="B420" s="247" t="s">
        <v>229</v>
      </c>
      <c r="C420" s="180">
        <v>21</v>
      </c>
      <c r="D420" s="182" t="s">
        <v>67</v>
      </c>
      <c r="E420" s="306"/>
      <c r="F420" s="103"/>
      <c r="G420" s="121"/>
    </row>
    <row r="421" spans="1:7" s="111" customFormat="1">
      <c r="A421" s="199" t="s">
        <v>17</v>
      </c>
      <c r="B421" s="247" t="s">
        <v>228</v>
      </c>
      <c r="C421" s="248">
        <v>27</v>
      </c>
      <c r="D421" s="248" t="s">
        <v>67</v>
      </c>
      <c r="E421" s="306"/>
      <c r="F421" s="103"/>
      <c r="G421" s="121"/>
    </row>
    <row r="422" spans="1:7" s="111" customFormat="1" ht="24">
      <c r="A422" s="199" t="s">
        <v>18</v>
      </c>
      <c r="B422" s="187" t="s">
        <v>238</v>
      </c>
      <c r="C422" s="248">
        <v>4</v>
      </c>
      <c r="D422" s="248" t="s">
        <v>67</v>
      </c>
      <c r="E422" s="306"/>
      <c r="F422" s="103"/>
      <c r="G422" s="121"/>
    </row>
    <row r="423" spans="1:7" s="94" customFormat="1">
      <c r="A423" s="232" t="s">
        <v>5</v>
      </c>
      <c r="B423" s="247" t="s">
        <v>230</v>
      </c>
      <c r="C423" s="248">
        <v>6</v>
      </c>
      <c r="D423" s="248" t="s">
        <v>67</v>
      </c>
      <c r="E423" s="306"/>
      <c r="F423" s="103"/>
      <c r="G423" s="121"/>
    </row>
    <row r="424" spans="1:7" s="94" customFormat="1">
      <c r="A424" s="199" t="s">
        <v>19</v>
      </c>
      <c r="B424" s="187" t="s">
        <v>235</v>
      </c>
      <c r="C424" s="248">
        <v>11</v>
      </c>
      <c r="D424" s="248" t="s">
        <v>67</v>
      </c>
      <c r="E424" s="306"/>
      <c r="F424" s="103"/>
      <c r="G424" s="121"/>
    </row>
    <row r="425" spans="1:7" s="94" customFormat="1">
      <c r="A425" s="199" t="s">
        <v>20</v>
      </c>
      <c r="B425" s="247" t="s">
        <v>231</v>
      </c>
      <c r="C425" s="234">
        <v>4</v>
      </c>
      <c r="D425" s="235" t="s">
        <v>67</v>
      </c>
      <c r="E425" s="306"/>
      <c r="F425" s="103"/>
      <c r="G425" s="121"/>
    </row>
    <row r="426" spans="1:7" s="94" customFormat="1">
      <c r="A426" s="232" t="s">
        <v>21</v>
      </c>
      <c r="B426" s="247" t="s">
        <v>232</v>
      </c>
      <c r="C426" s="248">
        <v>8</v>
      </c>
      <c r="D426" s="235" t="s">
        <v>67</v>
      </c>
      <c r="E426" s="306"/>
      <c r="F426" s="103"/>
      <c r="G426" s="121"/>
    </row>
    <row r="427" spans="1:7" s="94" customFormat="1">
      <c r="A427" s="232" t="s">
        <v>22</v>
      </c>
      <c r="B427" s="247" t="s">
        <v>233</v>
      </c>
      <c r="C427" s="248">
        <v>13</v>
      </c>
      <c r="D427" s="235" t="s">
        <v>67</v>
      </c>
      <c r="E427" s="306"/>
      <c r="F427" s="103"/>
      <c r="G427" s="121"/>
    </row>
    <row r="428" spans="1:7" s="94" customFormat="1">
      <c r="A428" s="232" t="s">
        <v>23</v>
      </c>
      <c r="B428" s="247" t="s">
        <v>234</v>
      </c>
      <c r="C428" s="234">
        <v>4</v>
      </c>
      <c r="D428" s="235" t="s">
        <v>67</v>
      </c>
      <c r="E428" s="306"/>
      <c r="F428" s="103"/>
      <c r="G428" s="121"/>
    </row>
    <row r="429" spans="1:7" s="94" customFormat="1">
      <c r="A429" s="232"/>
      <c r="B429" s="247"/>
      <c r="C429" s="234"/>
      <c r="D429" s="235"/>
      <c r="E429" s="7"/>
      <c r="F429" s="7"/>
      <c r="G429" s="1"/>
    </row>
    <row r="430" spans="1:7" s="94" customFormat="1" ht="24">
      <c r="A430" s="232" t="s">
        <v>24</v>
      </c>
      <c r="B430" s="237" t="s">
        <v>529</v>
      </c>
      <c r="C430" s="249" t="s">
        <v>333</v>
      </c>
      <c r="D430" s="248" t="s">
        <v>7</v>
      </c>
      <c r="E430" s="7"/>
      <c r="F430" s="7"/>
      <c r="G430" s="1"/>
    </row>
    <row r="431" spans="1:7" s="94" customFormat="1">
      <c r="A431" s="187"/>
      <c r="B431" s="237"/>
      <c r="C431" s="249"/>
      <c r="D431" s="250"/>
      <c r="E431" s="307"/>
      <c r="F431" s="308"/>
      <c r="G431" s="122"/>
    </row>
    <row r="432" spans="1:7" s="94" customFormat="1" ht="36">
      <c r="A432" s="232" t="s">
        <v>78</v>
      </c>
      <c r="B432" s="237" t="s">
        <v>531</v>
      </c>
      <c r="C432" s="249" t="s">
        <v>333</v>
      </c>
      <c r="D432" s="248" t="s">
        <v>7</v>
      </c>
      <c r="E432" s="307"/>
      <c r="F432" s="308"/>
      <c r="G432" s="122"/>
    </row>
    <row r="433" spans="1:7" s="94" customFormat="1">
      <c r="A433" s="187"/>
      <c r="B433" s="237"/>
      <c r="C433" s="249"/>
      <c r="D433" s="250"/>
      <c r="E433" s="307"/>
      <c r="F433" s="308"/>
      <c r="G433" s="122"/>
    </row>
    <row r="434" spans="1:7" s="94" customFormat="1" ht="36">
      <c r="A434" s="251" t="s">
        <v>63</v>
      </c>
      <c r="B434" s="252" t="s">
        <v>450</v>
      </c>
      <c r="C434" s="253" t="s">
        <v>333</v>
      </c>
      <c r="D434" s="254" t="s">
        <v>7</v>
      </c>
      <c r="E434" s="309"/>
      <c r="F434" s="310"/>
      <c r="G434" s="123"/>
    </row>
    <row r="435" spans="1:7" s="94" customFormat="1" ht="8.25" customHeight="1">
      <c r="A435" s="194"/>
      <c r="B435" s="255"/>
      <c r="C435" s="256"/>
      <c r="D435" s="256"/>
      <c r="E435" s="311"/>
      <c r="F435" s="109"/>
      <c r="G435" s="124"/>
    </row>
    <row r="436" spans="1:7" s="94" customFormat="1">
      <c r="A436" s="172" t="s">
        <v>69</v>
      </c>
      <c r="B436" s="257" t="s">
        <v>84</v>
      </c>
      <c r="C436" s="248"/>
      <c r="D436" s="248"/>
      <c r="E436" s="306"/>
      <c r="F436" s="103"/>
      <c r="G436" s="121"/>
    </row>
    <row r="437" spans="1:7" s="94" customFormat="1" ht="60">
      <c r="A437" s="187"/>
      <c r="B437" s="237" t="s">
        <v>528</v>
      </c>
      <c r="C437" s="248"/>
      <c r="D437" s="248"/>
      <c r="E437" s="306"/>
      <c r="F437" s="103"/>
      <c r="G437" s="2"/>
    </row>
    <row r="438" spans="1:7" s="94" customFormat="1">
      <c r="A438" s="199" t="s">
        <v>8</v>
      </c>
      <c r="B438" s="204" t="s">
        <v>448</v>
      </c>
      <c r="C438" s="248">
        <v>2</v>
      </c>
      <c r="D438" s="248" t="s">
        <v>121</v>
      </c>
      <c r="E438" s="306"/>
      <c r="F438" s="103"/>
      <c r="G438" s="2"/>
    </row>
    <row r="439" spans="1:7" s="94" customFormat="1">
      <c r="A439" s="199" t="s">
        <v>9</v>
      </c>
      <c r="B439" s="204" t="s">
        <v>449</v>
      </c>
      <c r="C439" s="248">
        <v>1</v>
      </c>
      <c r="D439" s="248" t="s">
        <v>121</v>
      </c>
      <c r="E439" s="306"/>
      <c r="F439" s="103"/>
      <c r="G439" s="2"/>
    </row>
    <row r="440" spans="1:7" s="94" customFormat="1">
      <c r="A440" s="199" t="s">
        <v>10</v>
      </c>
      <c r="B440" s="204" t="s">
        <v>456</v>
      </c>
      <c r="C440" s="248">
        <v>1</v>
      </c>
      <c r="D440" s="248" t="s">
        <v>121</v>
      </c>
      <c r="E440" s="306"/>
      <c r="F440" s="103"/>
      <c r="G440" s="2"/>
    </row>
    <row r="441" spans="1:7" s="94" customFormat="1">
      <c r="A441" s="258"/>
      <c r="B441" s="187"/>
      <c r="C441" s="180"/>
      <c r="D441" s="182"/>
      <c r="E441" s="312"/>
      <c r="F441" s="103"/>
      <c r="G441" s="121"/>
    </row>
    <row r="442" spans="1:7" s="111" customFormat="1">
      <c r="A442" s="172" t="s">
        <v>53</v>
      </c>
      <c r="B442" s="176" t="s">
        <v>110</v>
      </c>
      <c r="C442" s="197"/>
      <c r="D442" s="197"/>
      <c r="E442" s="312"/>
      <c r="F442" s="103"/>
      <c r="G442" s="125"/>
    </row>
    <row r="443" spans="1:7" s="111" customFormat="1" ht="48">
      <c r="A443" s="199"/>
      <c r="B443" s="237" t="s">
        <v>424</v>
      </c>
      <c r="C443" s="249"/>
      <c r="D443" s="248"/>
      <c r="E443" s="306"/>
      <c r="F443" s="103"/>
      <c r="G443" s="126"/>
    </row>
    <row r="444" spans="1:7" s="111" customFormat="1">
      <c r="A444" s="199" t="s">
        <v>8</v>
      </c>
      <c r="B444" s="204" t="s">
        <v>102</v>
      </c>
      <c r="C444" s="249">
        <v>1</v>
      </c>
      <c r="D444" s="248" t="s">
        <v>28</v>
      </c>
      <c r="E444" s="306"/>
      <c r="F444" s="103"/>
      <c r="G444" s="2"/>
    </row>
    <row r="445" spans="1:7" s="111" customFormat="1">
      <c r="A445" s="199" t="s">
        <v>9</v>
      </c>
      <c r="B445" s="204" t="s">
        <v>104</v>
      </c>
      <c r="C445" s="249">
        <v>1</v>
      </c>
      <c r="D445" s="248" t="s">
        <v>28</v>
      </c>
      <c r="E445" s="306"/>
      <c r="F445" s="103"/>
      <c r="G445" s="121"/>
    </row>
    <row r="446" spans="1:7" s="94" customFormat="1">
      <c r="A446" s="199" t="s">
        <v>10</v>
      </c>
      <c r="B446" s="204" t="s">
        <v>103</v>
      </c>
      <c r="C446" s="249">
        <v>1</v>
      </c>
      <c r="D446" s="248" t="s">
        <v>28</v>
      </c>
      <c r="E446" s="306"/>
      <c r="F446" s="103"/>
      <c r="G446" s="121"/>
    </row>
    <row r="447" spans="1:7" s="111" customFormat="1">
      <c r="A447" s="199"/>
      <c r="B447" s="184"/>
      <c r="C447" s="248"/>
      <c r="D447" s="248"/>
      <c r="E447" s="306"/>
      <c r="F447" s="103"/>
      <c r="G447" s="126"/>
    </row>
    <row r="448" spans="1:7" s="111" customFormat="1" ht="48">
      <c r="A448" s="259"/>
      <c r="B448" s="237" t="s">
        <v>422</v>
      </c>
      <c r="C448" s="249"/>
      <c r="D448" s="248"/>
      <c r="E448" s="307"/>
      <c r="F448" s="308"/>
      <c r="G448" s="122"/>
    </row>
    <row r="449" spans="1:7" s="127" customFormat="1">
      <c r="A449" s="199" t="s">
        <v>11</v>
      </c>
      <c r="B449" s="204" t="s">
        <v>113</v>
      </c>
      <c r="C449" s="249">
        <v>1</v>
      </c>
      <c r="D449" s="248" t="s">
        <v>28</v>
      </c>
      <c r="E449" s="306"/>
      <c r="F449" s="103"/>
      <c r="G449" s="2"/>
    </row>
    <row r="450" spans="1:7" s="127" customFormat="1">
      <c r="A450" s="199"/>
      <c r="B450" s="203"/>
      <c r="C450" s="248"/>
      <c r="D450" s="248"/>
      <c r="E450" s="306"/>
      <c r="F450" s="103"/>
      <c r="G450" s="2"/>
    </row>
    <row r="451" spans="1:7" s="111" customFormat="1">
      <c r="A451" s="260" t="s">
        <v>54</v>
      </c>
      <c r="B451" s="261" t="s">
        <v>241</v>
      </c>
      <c r="C451" s="249"/>
      <c r="D451" s="250"/>
      <c r="E451" s="307"/>
      <c r="F451" s="308"/>
      <c r="G451" s="122"/>
    </row>
    <row r="452" spans="1:7" s="111" customFormat="1" ht="36">
      <c r="A452" s="260"/>
      <c r="B452" s="237" t="s">
        <v>584</v>
      </c>
      <c r="C452" s="249"/>
      <c r="D452" s="250"/>
      <c r="E452" s="307"/>
      <c r="F452" s="308"/>
      <c r="G452" s="122"/>
    </row>
    <row r="453" spans="1:7" s="111" customFormat="1">
      <c r="A453" s="260"/>
      <c r="B453" s="237"/>
      <c r="C453" s="249"/>
      <c r="D453" s="250"/>
      <c r="E453" s="307"/>
      <c r="F453" s="308"/>
      <c r="G453" s="122"/>
    </row>
    <row r="454" spans="1:7" s="111" customFormat="1">
      <c r="A454" s="262" t="s">
        <v>8</v>
      </c>
      <c r="B454" s="247" t="s">
        <v>585</v>
      </c>
      <c r="C454" s="249">
        <v>2</v>
      </c>
      <c r="D454" s="250" t="s">
        <v>121</v>
      </c>
      <c r="E454" s="307"/>
      <c r="F454" s="308"/>
      <c r="G454" s="122"/>
    </row>
    <row r="455" spans="1:7" s="111" customFormat="1">
      <c r="A455" s="262" t="s">
        <v>9</v>
      </c>
      <c r="B455" s="247" t="s">
        <v>582</v>
      </c>
      <c r="C455" s="249">
        <v>1</v>
      </c>
      <c r="D455" s="250" t="s">
        <v>121</v>
      </c>
      <c r="E455" s="307"/>
      <c r="F455" s="308"/>
      <c r="G455" s="122"/>
    </row>
    <row r="456" spans="1:7" s="111" customFormat="1">
      <c r="A456" s="262" t="s">
        <v>10</v>
      </c>
      <c r="B456" s="247" t="s">
        <v>583</v>
      </c>
      <c r="C456" s="249">
        <v>1</v>
      </c>
      <c r="D456" s="250" t="s">
        <v>121</v>
      </c>
      <c r="E456" s="307"/>
      <c r="F456" s="308"/>
      <c r="G456" s="122"/>
    </row>
    <row r="457" spans="1:7" s="111" customFormat="1">
      <c r="A457" s="262" t="s">
        <v>11</v>
      </c>
      <c r="B457" s="247" t="s">
        <v>586</v>
      </c>
      <c r="C457" s="249">
        <v>1</v>
      </c>
      <c r="D457" s="250" t="s">
        <v>121</v>
      </c>
      <c r="E457" s="307"/>
      <c r="F457" s="308"/>
      <c r="G457" s="122"/>
    </row>
    <row r="458" spans="1:7" s="111" customFormat="1">
      <c r="A458" s="262" t="s">
        <v>12</v>
      </c>
      <c r="B458" s="247" t="s">
        <v>454</v>
      </c>
      <c r="C458" s="249">
        <v>1</v>
      </c>
      <c r="D458" s="250" t="s">
        <v>67</v>
      </c>
      <c r="E458" s="307"/>
      <c r="F458" s="308"/>
      <c r="G458" s="122"/>
    </row>
    <row r="459" spans="1:7" s="111" customFormat="1">
      <c r="A459" s="262"/>
      <c r="B459" s="247"/>
      <c r="C459" s="249"/>
      <c r="D459" s="250"/>
      <c r="E459" s="307"/>
      <c r="F459" s="308"/>
      <c r="G459" s="122"/>
    </row>
    <row r="460" spans="1:7" s="111" customFormat="1">
      <c r="A460" s="172" t="s">
        <v>55</v>
      </c>
      <c r="B460" s="257" t="s">
        <v>44</v>
      </c>
      <c r="C460" s="248"/>
      <c r="D460" s="248"/>
      <c r="E460" s="306"/>
      <c r="F460" s="103"/>
      <c r="G460" s="126"/>
    </row>
    <row r="461" spans="1:7" s="111" customFormat="1" ht="48">
      <c r="A461" s="260"/>
      <c r="B461" s="237" t="s">
        <v>242</v>
      </c>
      <c r="C461" s="249"/>
      <c r="D461" s="250"/>
      <c r="E461" s="307"/>
      <c r="F461" s="308"/>
      <c r="G461" s="122"/>
    </row>
    <row r="462" spans="1:7" s="111" customFormat="1">
      <c r="A462" s="245"/>
      <c r="B462" s="263" t="s">
        <v>383</v>
      </c>
      <c r="C462" s="180"/>
      <c r="D462" s="182"/>
      <c r="E462" s="306"/>
      <c r="F462" s="103"/>
      <c r="G462" s="2"/>
    </row>
    <row r="463" spans="1:7" s="111" customFormat="1">
      <c r="A463" s="199" t="s">
        <v>8</v>
      </c>
      <c r="B463" s="204" t="s">
        <v>128</v>
      </c>
      <c r="C463" s="248">
        <v>2</v>
      </c>
      <c r="D463" s="248" t="s">
        <v>67</v>
      </c>
      <c r="E463" s="306"/>
      <c r="F463" s="103"/>
      <c r="G463" s="121"/>
    </row>
    <row r="464" spans="1:7" s="111" customFormat="1">
      <c r="A464" s="199" t="s">
        <v>9</v>
      </c>
      <c r="B464" s="247" t="s">
        <v>184</v>
      </c>
      <c r="C464" s="248">
        <v>3</v>
      </c>
      <c r="D464" s="248" t="s">
        <v>67</v>
      </c>
      <c r="E464" s="306"/>
      <c r="F464" s="103"/>
      <c r="G464" s="2"/>
    </row>
    <row r="465" spans="1:7" s="111" customFormat="1">
      <c r="A465" s="199" t="s">
        <v>10</v>
      </c>
      <c r="B465" s="247" t="s">
        <v>185</v>
      </c>
      <c r="C465" s="248">
        <v>3</v>
      </c>
      <c r="D465" s="248" t="s">
        <v>67</v>
      </c>
      <c r="E465" s="306"/>
      <c r="F465" s="103"/>
      <c r="G465" s="2"/>
    </row>
    <row r="466" spans="1:7" s="111" customFormat="1">
      <c r="A466" s="199" t="s">
        <v>11</v>
      </c>
      <c r="B466" s="247" t="s">
        <v>345</v>
      </c>
      <c r="C466" s="248">
        <v>7</v>
      </c>
      <c r="D466" s="248" t="s">
        <v>67</v>
      </c>
      <c r="E466" s="306"/>
      <c r="F466" s="103"/>
      <c r="G466" s="2"/>
    </row>
    <row r="467" spans="1:7" s="111" customFormat="1">
      <c r="A467" s="199" t="s">
        <v>12</v>
      </c>
      <c r="B467" s="204" t="s">
        <v>188</v>
      </c>
      <c r="C467" s="248">
        <v>1</v>
      </c>
      <c r="D467" s="248" t="s">
        <v>67</v>
      </c>
      <c r="E467" s="306"/>
      <c r="F467" s="103"/>
      <c r="G467" s="2"/>
    </row>
    <row r="468" spans="1:7" s="111" customFormat="1">
      <c r="A468" s="264" t="s">
        <v>13</v>
      </c>
      <c r="B468" s="204" t="s">
        <v>425</v>
      </c>
      <c r="C468" s="248">
        <v>2</v>
      </c>
      <c r="D468" s="248" t="s">
        <v>67</v>
      </c>
      <c r="E468" s="306"/>
      <c r="F468" s="103"/>
      <c r="G468" s="2"/>
    </row>
    <row r="469" spans="1:7" s="111" customFormat="1">
      <c r="A469" s="199" t="s">
        <v>14</v>
      </c>
      <c r="B469" s="204" t="s">
        <v>426</v>
      </c>
      <c r="C469" s="248">
        <v>1</v>
      </c>
      <c r="D469" s="248" t="s">
        <v>67</v>
      </c>
      <c r="E469" s="306"/>
      <c r="F469" s="103"/>
      <c r="G469" s="2"/>
    </row>
    <row r="470" spans="1:7" s="111" customFormat="1">
      <c r="A470" s="199" t="s">
        <v>15</v>
      </c>
      <c r="B470" s="265" t="s">
        <v>205</v>
      </c>
      <c r="C470" s="266">
        <v>4</v>
      </c>
      <c r="D470" s="267" t="s">
        <v>67</v>
      </c>
      <c r="E470" s="313"/>
      <c r="F470" s="314"/>
      <c r="G470" s="128"/>
    </row>
    <row r="471" spans="1:7" s="111" customFormat="1">
      <c r="A471" s="199" t="s">
        <v>61</v>
      </c>
      <c r="B471" s="247" t="s">
        <v>243</v>
      </c>
      <c r="C471" s="248">
        <v>4</v>
      </c>
      <c r="D471" s="248" t="s">
        <v>67</v>
      </c>
      <c r="E471" s="313"/>
      <c r="F471" s="314"/>
      <c r="G471" s="128"/>
    </row>
    <row r="472" spans="1:7" s="111" customFormat="1">
      <c r="A472" s="199" t="s">
        <v>16</v>
      </c>
      <c r="B472" s="204" t="s">
        <v>129</v>
      </c>
      <c r="C472" s="248">
        <v>2</v>
      </c>
      <c r="D472" s="248" t="s">
        <v>67</v>
      </c>
      <c r="E472" s="306"/>
      <c r="F472" s="103"/>
      <c r="G472" s="2"/>
    </row>
    <row r="473" spans="1:7" s="111" customFormat="1">
      <c r="A473" s="199" t="s">
        <v>18</v>
      </c>
      <c r="B473" s="204" t="s">
        <v>183</v>
      </c>
      <c r="C473" s="248">
        <v>3</v>
      </c>
      <c r="D473" s="248" t="s">
        <v>67</v>
      </c>
      <c r="E473" s="306"/>
      <c r="F473" s="103"/>
      <c r="G473" s="2"/>
    </row>
    <row r="474" spans="1:7" s="111" customFormat="1">
      <c r="A474" s="199" t="s">
        <v>5</v>
      </c>
      <c r="B474" s="204" t="s">
        <v>427</v>
      </c>
      <c r="C474" s="248">
        <v>2</v>
      </c>
      <c r="D474" s="248" t="s">
        <v>67</v>
      </c>
      <c r="E474" s="306"/>
      <c r="F474" s="103"/>
      <c r="G474" s="2"/>
    </row>
    <row r="475" spans="1:7" s="94" customFormat="1">
      <c r="A475" s="199"/>
      <c r="B475" s="204"/>
      <c r="C475" s="248"/>
      <c r="D475" s="248"/>
      <c r="E475" s="306"/>
      <c r="F475" s="103"/>
      <c r="G475" s="2"/>
    </row>
    <row r="476" spans="1:7" s="94" customFormat="1" ht="48">
      <c r="A476" s="199" t="s">
        <v>19</v>
      </c>
      <c r="B476" s="184" t="s">
        <v>527</v>
      </c>
      <c r="C476" s="248" t="s">
        <v>333</v>
      </c>
      <c r="D476" s="248" t="s">
        <v>7</v>
      </c>
      <c r="E476" s="306"/>
      <c r="F476" s="103"/>
      <c r="G476" s="2"/>
    </row>
    <row r="477" spans="1:7" s="94" customFormat="1">
      <c r="A477" s="200"/>
      <c r="B477" s="252"/>
      <c r="C477" s="254"/>
      <c r="D477" s="254"/>
      <c r="E477" s="315"/>
      <c r="F477" s="106"/>
      <c r="G477" s="107"/>
    </row>
    <row r="478" spans="1:7" s="94" customFormat="1">
      <c r="A478" s="201"/>
      <c r="B478" s="231"/>
      <c r="C478" s="256"/>
      <c r="D478" s="256"/>
      <c r="E478" s="311"/>
      <c r="F478" s="109"/>
      <c r="G478" s="110"/>
    </row>
    <row r="479" spans="1:7" s="94" customFormat="1" ht="48">
      <c r="A479" s="199" t="s">
        <v>20</v>
      </c>
      <c r="B479" s="184" t="s">
        <v>570</v>
      </c>
      <c r="C479" s="248" t="s">
        <v>333</v>
      </c>
      <c r="D479" s="248" t="s">
        <v>7</v>
      </c>
      <c r="E479" s="306"/>
      <c r="F479" s="103"/>
      <c r="G479" s="2"/>
    </row>
    <row r="480" spans="1:7" s="94" customFormat="1">
      <c r="A480" s="199"/>
      <c r="B480" s="204"/>
      <c r="C480" s="248"/>
      <c r="D480" s="248"/>
      <c r="E480" s="306"/>
      <c r="F480" s="103"/>
      <c r="G480" s="2"/>
    </row>
    <row r="481" spans="1:7" s="94" customFormat="1" ht="48">
      <c r="A481" s="199" t="s">
        <v>21</v>
      </c>
      <c r="B481" s="179" t="s">
        <v>569</v>
      </c>
      <c r="C481" s="180">
        <v>1</v>
      </c>
      <c r="D481" s="182" t="s">
        <v>67</v>
      </c>
      <c r="E481" s="316"/>
      <c r="F481" s="112"/>
      <c r="G481" s="129"/>
    </row>
    <row r="482" spans="1:7" s="94" customFormat="1">
      <c r="A482" s="199"/>
      <c r="B482" s="179"/>
      <c r="C482" s="180"/>
      <c r="D482" s="182"/>
      <c r="E482" s="316"/>
      <c r="F482" s="112"/>
      <c r="G482" s="129"/>
    </row>
    <row r="483" spans="1:7" s="94" customFormat="1" ht="53.25" customHeight="1">
      <c r="A483" s="199" t="s">
        <v>22</v>
      </c>
      <c r="B483" s="179" t="s">
        <v>455</v>
      </c>
      <c r="C483" s="180">
        <v>3</v>
      </c>
      <c r="D483" s="182" t="s">
        <v>67</v>
      </c>
      <c r="E483" s="316"/>
      <c r="F483" s="112"/>
      <c r="G483" s="129"/>
    </row>
    <row r="484" spans="1:7" s="94" customFormat="1">
      <c r="A484" s="199"/>
      <c r="B484" s="179"/>
      <c r="C484" s="180"/>
      <c r="D484" s="182"/>
      <c r="E484" s="316"/>
      <c r="F484" s="112"/>
      <c r="G484" s="129"/>
    </row>
    <row r="485" spans="1:7" s="94" customFormat="1" ht="60">
      <c r="A485" s="199" t="s">
        <v>23</v>
      </c>
      <c r="B485" s="179" t="s">
        <v>526</v>
      </c>
      <c r="C485" s="180" t="s">
        <v>333</v>
      </c>
      <c r="D485" s="182" t="s">
        <v>7</v>
      </c>
      <c r="E485" s="316"/>
      <c r="F485" s="112"/>
      <c r="G485" s="129"/>
    </row>
    <row r="486" spans="1:7" s="94" customFormat="1">
      <c r="A486" s="199"/>
      <c r="B486" s="179"/>
      <c r="C486" s="180"/>
      <c r="D486" s="182"/>
      <c r="E486" s="316"/>
      <c r="F486" s="112"/>
      <c r="G486" s="129"/>
    </row>
    <row r="487" spans="1:7" s="94" customFormat="1" ht="24">
      <c r="A487" s="199" t="s">
        <v>24</v>
      </c>
      <c r="B487" s="179" t="s">
        <v>567</v>
      </c>
      <c r="C487" s="180" t="s">
        <v>333</v>
      </c>
      <c r="D487" s="182" t="s">
        <v>7</v>
      </c>
      <c r="E487" s="316"/>
      <c r="F487" s="112"/>
      <c r="G487" s="129"/>
    </row>
    <row r="488" spans="1:7" s="94" customFormat="1">
      <c r="A488" s="199"/>
      <c r="B488" s="179"/>
      <c r="C488" s="180"/>
      <c r="D488" s="182"/>
      <c r="E488" s="316"/>
      <c r="F488" s="112"/>
      <c r="G488" s="129"/>
    </row>
    <row r="489" spans="1:7" s="94" customFormat="1" ht="36">
      <c r="A489" s="199" t="s">
        <v>78</v>
      </c>
      <c r="B489" s="179" t="s">
        <v>568</v>
      </c>
      <c r="C489" s="180" t="s">
        <v>333</v>
      </c>
      <c r="D489" s="182" t="s">
        <v>7</v>
      </c>
      <c r="E489" s="316"/>
      <c r="F489" s="112"/>
      <c r="G489" s="129"/>
    </row>
    <row r="490" spans="1:7" s="94" customFormat="1">
      <c r="A490" s="199"/>
      <c r="B490" s="203"/>
      <c r="C490" s="248"/>
      <c r="D490" s="248"/>
      <c r="E490" s="306"/>
      <c r="F490" s="103"/>
      <c r="G490" s="2"/>
    </row>
    <row r="491" spans="1:7" s="94" customFormat="1">
      <c r="A491" s="268" t="s">
        <v>125</v>
      </c>
      <c r="B491" s="269" t="s">
        <v>244</v>
      </c>
      <c r="C491" s="249"/>
      <c r="D491" s="270"/>
      <c r="E491" s="317"/>
      <c r="F491" s="308"/>
      <c r="G491" s="122"/>
    </row>
    <row r="492" spans="1:7" s="94" customFormat="1">
      <c r="A492" s="268"/>
      <c r="B492" s="269"/>
      <c r="C492" s="249"/>
      <c r="D492" s="270"/>
      <c r="E492" s="317"/>
      <c r="F492" s="308"/>
      <c r="G492" s="122"/>
    </row>
    <row r="493" spans="1:7" s="94" customFormat="1">
      <c r="A493" s="268"/>
      <c r="B493" s="237" t="s">
        <v>245</v>
      </c>
      <c r="C493" s="249"/>
      <c r="D493" s="270"/>
      <c r="E493" s="317"/>
      <c r="F493" s="308"/>
      <c r="G493" s="122"/>
    </row>
    <row r="494" spans="1:7" s="94" customFormat="1">
      <c r="A494" s="259" t="s">
        <v>8</v>
      </c>
      <c r="B494" s="247" t="s">
        <v>246</v>
      </c>
      <c r="C494" s="249">
        <v>3</v>
      </c>
      <c r="D494" s="270" t="s">
        <v>67</v>
      </c>
      <c r="E494" s="317"/>
      <c r="F494" s="308"/>
      <c r="G494" s="122"/>
    </row>
    <row r="495" spans="1:7" s="94" customFormat="1">
      <c r="A495" s="259" t="s">
        <v>9</v>
      </c>
      <c r="B495" s="247" t="s">
        <v>247</v>
      </c>
      <c r="C495" s="249">
        <v>6</v>
      </c>
      <c r="D495" s="270" t="s">
        <v>67</v>
      </c>
      <c r="E495" s="317"/>
      <c r="F495" s="308"/>
      <c r="G495" s="122"/>
    </row>
    <row r="496" spans="1:7" s="94" customFormat="1">
      <c r="A496" s="259" t="s">
        <v>10</v>
      </c>
      <c r="B496" s="247" t="s">
        <v>250</v>
      </c>
      <c r="C496" s="249">
        <v>1</v>
      </c>
      <c r="D496" s="270" t="s">
        <v>67</v>
      </c>
      <c r="E496" s="317"/>
      <c r="F496" s="308"/>
      <c r="G496" s="122"/>
    </row>
    <row r="497" spans="1:7" s="94" customFormat="1">
      <c r="A497" s="259" t="s">
        <v>11</v>
      </c>
      <c r="B497" s="247" t="s">
        <v>251</v>
      </c>
      <c r="C497" s="249">
        <v>2</v>
      </c>
      <c r="D497" s="270" t="s">
        <v>67</v>
      </c>
      <c r="E497" s="317"/>
      <c r="F497" s="308"/>
      <c r="G497" s="122"/>
    </row>
    <row r="498" spans="1:7" s="94" customFormat="1">
      <c r="A498" s="259" t="s">
        <v>12</v>
      </c>
      <c r="B498" s="247" t="s">
        <v>248</v>
      </c>
      <c r="C498" s="249">
        <v>2</v>
      </c>
      <c r="D498" s="270" t="s">
        <v>67</v>
      </c>
      <c r="E498" s="317"/>
      <c r="F498" s="308"/>
      <c r="G498" s="122"/>
    </row>
    <row r="499" spans="1:7" s="94" customFormat="1">
      <c r="A499" s="259" t="s">
        <v>13</v>
      </c>
      <c r="B499" s="247" t="s">
        <v>249</v>
      </c>
      <c r="C499" s="249">
        <v>1</v>
      </c>
      <c r="D499" s="270" t="s">
        <v>67</v>
      </c>
      <c r="E499" s="317"/>
      <c r="F499" s="308"/>
      <c r="G499" s="122"/>
    </row>
    <row r="500" spans="1:7" s="94" customFormat="1">
      <c r="A500" s="259" t="s">
        <v>14</v>
      </c>
      <c r="B500" s="247" t="s">
        <v>252</v>
      </c>
      <c r="C500" s="249">
        <v>2</v>
      </c>
      <c r="D500" s="270" t="s">
        <v>67</v>
      </c>
      <c r="E500" s="317"/>
      <c r="F500" s="308"/>
      <c r="G500" s="122"/>
    </row>
    <row r="501" spans="1:7" s="94" customFormat="1">
      <c r="A501" s="259" t="s">
        <v>15</v>
      </c>
      <c r="B501" s="247" t="s">
        <v>253</v>
      </c>
      <c r="C501" s="249">
        <v>2</v>
      </c>
      <c r="D501" s="270" t="s">
        <v>67</v>
      </c>
      <c r="E501" s="317"/>
      <c r="F501" s="308"/>
      <c r="G501" s="122"/>
    </row>
    <row r="502" spans="1:7" s="94" customFormat="1">
      <c r="A502" s="259" t="s">
        <v>61</v>
      </c>
      <c r="B502" s="247" t="s">
        <v>254</v>
      </c>
      <c r="C502" s="249">
        <v>1</v>
      </c>
      <c r="D502" s="270" t="s">
        <v>67</v>
      </c>
      <c r="E502" s="317"/>
      <c r="F502" s="308"/>
      <c r="G502" s="122"/>
    </row>
    <row r="503" spans="1:7" s="94" customFormat="1">
      <c r="A503" s="259" t="s">
        <v>16</v>
      </c>
      <c r="B503" s="247" t="s">
        <v>268</v>
      </c>
      <c r="C503" s="249">
        <v>2</v>
      </c>
      <c r="D503" s="270" t="s">
        <v>67</v>
      </c>
      <c r="E503" s="317"/>
      <c r="F503" s="308"/>
      <c r="G503" s="122"/>
    </row>
    <row r="504" spans="1:7" s="94" customFormat="1">
      <c r="A504" s="259" t="s">
        <v>17</v>
      </c>
      <c r="B504" s="247" t="s">
        <v>275</v>
      </c>
      <c r="C504" s="249">
        <v>1</v>
      </c>
      <c r="D504" s="270" t="s">
        <v>67</v>
      </c>
      <c r="E504" s="317"/>
      <c r="F504" s="308"/>
      <c r="G504" s="122"/>
    </row>
    <row r="505" spans="1:7" s="94" customFormat="1">
      <c r="A505" s="259"/>
      <c r="B505" s="247"/>
      <c r="C505" s="249"/>
      <c r="D505" s="270"/>
      <c r="E505" s="317"/>
      <c r="F505" s="308"/>
      <c r="G505" s="122"/>
    </row>
    <row r="506" spans="1:7" s="94" customFormat="1" ht="84">
      <c r="A506" s="259"/>
      <c r="B506" s="237" t="s">
        <v>457</v>
      </c>
      <c r="C506" s="249"/>
      <c r="D506" s="270"/>
      <c r="E506" s="317"/>
      <c r="F506" s="308"/>
      <c r="G506" s="122"/>
    </row>
    <row r="507" spans="1:7" s="94" customFormat="1">
      <c r="A507" s="259" t="s">
        <v>18</v>
      </c>
      <c r="B507" s="247" t="s">
        <v>272</v>
      </c>
      <c r="C507" s="249">
        <v>1</v>
      </c>
      <c r="D507" s="270" t="s">
        <v>67</v>
      </c>
      <c r="E507" s="317"/>
      <c r="F507" s="308"/>
      <c r="G507" s="122"/>
    </row>
    <row r="508" spans="1:7" s="94" customFormat="1" ht="10.5" customHeight="1">
      <c r="A508" s="259"/>
      <c r="B508" s="247"/>
      <c r="C508" s="249"/>
      <c r="D508" s="270"/>
      <c r="E508" s="317"/>
      <c r="F508" s="308"/>
      <c r="G508" s="122"/>
    </row>
    <row r="509" spans="1:7" s="94" customFormat="1" ht="60">
      <c r="A509" s="259"/>
      <c r="B509" s="237" t="s">
        <v>525</v>
      </c>
      <c r="C509" s="249"/>
      <c r="D509" s="270"/>
      <c r="E509" s="317"/>
      <c r="F509" s="308"/>
      <c r="G509" s="122"/>
    </row>
    <row r="510" spans="1:7" s="94" customFormat="1">
      <c r="A510" s="259" t="s">
        <v>5</v>
      </c>
      <c r="B510" s="247" t="s">
        <v>458</v>
      </c>
      <c r="C510" s="249" t="s">
        <v>333</v>
      </c>
      <c r="D510" s="270" t="s">
        <v>7</v>
      </c>
      <c r="E510" s="317"/>
      <c r="F510" s="308"/>
      <c r="G510" s="122"/>
    </row>
    <row r="511" spans="1:7" s="94" customFormat="1">
      <c r="A511" s="259"/>
      <c r="B511" s="247"/>
      <c r="C511" s="249"/>
      <c r="D511" s="270"/>
      <c r="E511" s="317"/>
      <c r="F511" s="308"/>
      <c r="G511" s="122"/>
    </row>
    <row r="512" spans="1:7" s="94" customFormat="1">
      <c r="A512" s="271"/>
      <c r="B512" s="272"/>
      <c r="C512" s="253"/>
      <c r="D512" s="273"/>
      <c r="E512" s="318"/>
      <c r="F512" s="310"/>
      <c r="G512" s="123"/>
    </row>
    <row r="513" spans="1:7" s="94" customFormat="1">
      <c r="A513" s="274"/>
      <c r="B513" s="275"/>
      <c r="C513" s="276"/>
      <c r="D513" s="277"/>
      <c r="E513" s="319"/>
      <c r="F513" s="320"/>
      <c r="G513" s="130"/>
    </row>
    <row r="514" spans="1:7" s="94" customFormat="1" ht="24">
      <c r="A514" s="259"/>
      <c r="B514" s="237" t="s">
        <v>460</v>
      </c>
      <c r="C514" s="249"/>
      <c r="D514" s="270"/>
      <c r="E514" s="317"/>
      <c r="F514" s="308"/>
      <c r="G514" s="122"/>
    </row>
    <row r="515" spans="1:7" s="94" customFormat="1">
      <c r="A515" s="259" t="s">
        <v>19</v>
      </c>
      <c r="B515" s="247" t="s">
        <v>273</v>
      </c>
      <c r="C515" s="249" t="s">
        <v>333</v>
      </c>
      <c r="D515" s="270" t="s">
        <v>7</v>
      </c>
      <c r="E515" s="317"/>
      <c r="F515" s="308"/>
      <c r="G515" s="122"/>
    </row>
    <row r="516" spans="1:7" s="94" customFormat="1">
      <c r="A516" s="259"/>
      <c r="B516" s="140"/>
      <c r="C516" s="249"/>
      <c r="D516" s="270"/>
      <c r="E516" s="317"/>
      <c r="F516" s="103"/>
      <c r="G516" s="2"/>
    </row>
    <row r="517" spans="1:7" s="94" customFormat="1" ht="24">
      <c r="A517" s="259"/>
      <c r="B517" s="237" t="s">
        <v>461</v>
      </c>
      <c r="C517" s="249"/>
      <c r="D517" s="270"/>
      <c r="E517" s="317"/>
      <c r="F517" s="103"/>
      <c r="G517" s="2"/>
    </row>
    <row r="518" spans="1:7" s="94" customFormat="1">
      <c r="A518" s="259" t="s">
        <v>20</v>
      </c>
      <c r="B518" s="247" t="s">
        <v>256</v>
      </c>
      <c r="C518" s="249" t="s">
        <v>333</v>
      </c>
      <c r="D518" s="270" t="s">
        <v>7</v>
      </c>
      <c r="E518" s="317"/>
      <c r="F518" s="103"/>
      <c r="G518" s="2"/>
    </row>
    <row r="519" spans="1:7" s="94" customFormat="1">
      <c r="A519" s="259"/>
      <c r="B519" s="247"/>
      <c r="C519" s="249"/>
      <c r="D519" s="270"/>
      <c r="E519" s="317"/>
      <c r="F519" s="103"/>
      <c r="G519" s="2"/>
    </row>
    <row r="520" spans="1:7" s="94" customFormat="1" ht="48">
      <c r="A520" s="259"/>
      <c r="B520" s="237" t="s">
        <v>356</v>
      </c>
      <c r="C520" s="249"/>
      <c r="D520" s="270"/>
      <c r="E520" s="317"/>
      <c r="F520" s="103"/>
      <c r="G520" s="2"/>
    </row>
    <row r="521" spans="1:7" s="94" customFormat="1">
      <c r="A521" s="259" t="s">
        <v>21</v>
      </c>
      <c r="B521" s="247" t="s">
        <v>274</v>
      </c>
      <c r="C521" s="249">
        <v>1</v>
      </c>
      <c r="D521" s="270" t="s">
        <v>67</v>
      </c>
      <c r="E521" s="317"/>
      <c r="F521" s="103"/>
      <c r="G521" s="2"/>
    </row>
    <row r="522" spans="1:7" s="94" customFormat="1">
      <c r="A522" s="259"/>
      <c r="B522" s="247"/>
      <c r="C522" s="249"/>
      <c r="D522" s="270"/>
      <c r="E522" s="317"/>
      <c r="F522" s="308"/>
      <c r="G522" s="122"/>
    </row>
    <row r="523" spans="1:7" s="94" customFormat="1" ht="24">
      <c r="A523" s="259"/>
      <c r="B523" s="237" t="s">
        <v>459</v>
      </c>
      <c r="C523" s="249"/>
      <c r="D523" s="270"/>
      <c r="E523" s="317"/>
      <c r="F523" s="308"/>
      <c r="G523" s="122"/>
    </row>
    <row r="524" spans="1:7" s="94" customFormat="1">
      <c r="A524" s="259" t="s">
        <v>22</v>
      </c>
      <c r="B524" s="247" t="s">
        <v>269</v>
      </c>
      <c r="C524" s="249">
        <v>1</v>
      </c>
      <c r="D524" s="270" t="s">
        <v>67</v>
      </c>
      <c r="E524" s="317"/>
      <c r="F524" s="308"/>
      <c r="G524" s="122"/>
    </row>
    <row r="525" spans="1:7" s="94" customFormat="1">
      <c r="A525" s="259" t="s">
        <v>23</v>
      </c>
      <c r="B525" s="247" t="s">
        <v>270</v>
      </c>
      <c r="C525" s="249">
        <v>1</v>
      </c>
      <c r="D525" s="270" t="s">
        <v>67</v>
      </c>
      <c r="E525" s="317"/>
      <c r="F525" s="308"/>
      <c r="G525" s="122"/>
    </row>
    <row r="526" spans="1:7" s="94" customFormat="1">
      <c r="A526" s="259" t="s">
        <v>24</v>
      </c>
      <c r="B526" s="247" t="s">
        <v>271</v>
      </c>
      <c r="C526" s="249">
        <v>1</v>
      </c>
      <c r="D526" s="270" t="s">
        <v>67</v>
      </c>
      <c r="E526" s="317"/>
      <c r="F526" s="308"/>
      <c r="G526" s="122"/>
    </row>
    <row r="527" spans="1:7" s="94" customFormat="1">
      <c r="A527" s="258"/>
      <c r="B527" s="278"/>
      <c r="C527" s="197"/>
      <c r="D527" s="279"/>
      <c r="E527" s="312"/>
      <c r="F527" s="103"/>
      <c r="G527" s="2"/>
    </row>
    <row r="528" spans="1:7" s="94" customFormat="1">
      <c r="A528" s="172" t="s">
        <v>56</v>
      </c>
      <c r="B528" s="176" t="s">
        <v>86</v>
      </c>
      <c r="C528" s="197"/>
      <c r="D528" s="279"/>
      <c r="E528" s="312"/>
      <c r="F528" s="103"/>
      <c r="G528" s="2"/>
    </row>
    <row r="529" spans="1:7" s="94" customFormat="1">
      <c r="A529" s="172"/>
      <c r="B529" s="176"/>
      <c r="C529" s="197"/>
      <c r="D529" s="279"/>
      <c r="E529" s="312"/>
      <c r="F529" s="103"/>
      <c r="G529" s="2"/>
    </row>
    <row r="530" spans="1:7" s="94" customFormat="1">
      <c r="A530" s="280"/>
      <c r="B530" s="281"/>
      <c r="C530" s="282"/>
      <c r="D530" s="283"/>
      <c r="E530" s="321"/>
      <c r="F530" s="106"/>
      <c r="G530" s="131"/>
    </row>
    <row r="531" spans="1:7" s="94" customFormat="1">
      <c r="A531" s="284"/>
      <c r="B531" s="285"/>
      <c r="C531" s="286"/>
      <c r="D531" s="287"/>
      <c r="E531" s="322"/>
      <c r="F531" s="132">
        <v>0</v>
      </c>
      <c r="G531" s="133"/>
    </row>
    <row r="532" spans="1:7" s="94" customFormat="1">
      <c r="A532" s="288"/>
      <c r="B532" s="42"/>
      <c r="C532" s="289"/>
      <c r="D532" s="290"/>
      <c r="E532" s="80"/>
      <c r="F532" s="87">
        <v>0</v>
      </c>
      <c r="G532" s="77"/>
    </row>
    <row r="533" spans="1:7" s="94" customFormat="1">
      <c r="A533" s="288"/>
      <c r="B533" s="145"/>
      <c r="C533" s="289"/>
      <c r="D533" s="290"/>
      <c r="E533" s="79"/>
      <c r="F533" s="87">
        <v>0</v>
      </c>
      <c r="G533" s="77"/>
    </row>
    <row r="534" spans="1:7" s="94" customFormat="1">
      <c r="A534" s="288"/>
      <c r="B534" s="42"/>
      <c r="C534" s="289"/>
      <c r="D534" s="290"/>
      <c r="E534" s="79"/>
      <c r="F534" s="87">
        <v>0</v>
      </c>
      <c r="G534" s="77"/>
    </row>
    <row r="535" spans="1:7" s="94" customFormat="1">
      <c r="A535" s="291"/>
      <c r="B535" s="146"/>
      <c r="C535" s="292"/>
      <c r="D535" s="148"/>
      <c r="E535" s="86"/>
      <c r="F535" s="86"/>
      <c r="G535" s="85"/>
    </row>
    <row r="536" spans="1:7" s="94" customFormat="1">
      <c r="A536" s="291"/>
      <c r="B536" s="146"/>
      <c r="C536" s="292"/>
      <c r="D536" s="292"/>
      <c r="E536" s="86"/>
      <c r="F536" s="86"/>
      <c r="G536" s="85"/>
    </row>
    <row r="537" spans="1:7" s="94" customFormat="1">
      <c r="A537" s="291"/>
      <c r="B537" s="293"/>
      <c r="C537" s="292"/>
      <c r="D537" s="148"/>
      <c r="E537" s="86"/>
      <c r="F537" s="86"/>
      <c r="G537" s="85"/>
    </row>
    <row r="538" spans="1:7" s="94" customFormat="1">
      <c r="A538" s="288"/>
      <c r="B538" s="42"/>
      <c r="C538" s="289"/>
      <c r="D538" s="290"/>
      <c r="E538" s="79"/>
      <c r="F538" s="87">
        <v>0</v>
      </c>
      <c r="G538" s="77"/>
    </row>
    <row r="539" spans="1:7" s="94" customFormat="1">
      <c r="A539" s="288"/>
      <c r="B539" s="42"/>
      <c r="C539" s="289"/>
      <c r="D539" s="290"/>
      <c r="E539" s="79"/>
      <c r="F539" s="87">
        <v>0</v>
      </c>
      <c r="G539" s="77"/>
    </row>
    <row r="540" spans="1:7" s="94" customFormat="1">
      <c r="A540" s="288"/>
      <c r="B540" s="43"/>
      <c r="C540" s="294"/>
      <c r="D540" s="139"/>
      <c r="E540" s="79"/>
      <c r="F540" s="87">
        <v>0</v>
      </c>
      <c r="G540" s="77"/>
    </row>
    <row r="541" spans="1:7" s="94" customFormat="1">
      <c r="A541" s="288"/>
      <c r="B541" s="43"/>
      <c r="C541" s="294"/>
      <c r="D541" s="139"/>
      <c r="E541" s="79"/>
      <c r="F541" s="87">
        <v>0</v>
      </c>
      <c r="G541" s="81"/>
    </row>
    <row r="542" spans="1:7" s="94" customFormat="1">
      <c r="A542" s="288"/>
      <c r="B542" s="43"/>
      <c r="C542" s="294"/>
      <c r="D542" s="139"/>
      <c r="E542" s="79"/>
      <c r="F542" s="87">
        <v>0</v>
      </c>
      <c r="G542" s="81"/>
    </row>
    <row r="543" spans="1:7" s="94" customFormat="1">
      <c r="A543" s="288"/>
      <c r="B543" s="43"/>
      <c r="C543" s="294"/>
      <c r="D543" s="139"/>
      <c r="E543" s="79"/>
      <c r="F543" s="87">
        <v>0</v>
      </c>
      <c r="G543" s="81"/>
    </row>
    <row r="544" spans="1:7" s="94" customFormat="1">
      <c r="A544" s="288"/>
      <c r="B544" s="43"/>
      <c r="C544" s="294"/>
      <c r="D544" s="139"/>
      <c r="E544" s="79"/>
      <c r="F544" s="87">
        <v>0</v>
      </c>
      <c r="G544" s="81"/>
    </row>
    <row r="545" spans="1:7" s="94" customFormat="1">
      <c r="A545" s="288"/>
      <c r="B545" s="295"/>
      <c r="C545" s="294"/>
      <c r="D545" s="139"/>
      <c r="E545" s="79"/>
      <c r="F545" s="87">
        <v>0</v>
      </c>
      <c r="G545" s="81"/>
    </row>
    <row r="546" spans="1:7" s="94" customFormat="1">
      <c r="A546" s="288"/>
      <c r="B546" s="145"/>
      <c r="C546" s="296"/>
      <c r="D546" s="148"/>
      <c r="E546" s="86"/>
      <c r="F546" s="87">
        <v>0</v>
      </c>
      <c r="G546" s="81"/>
    </row>
    <row r="547" spans="1:7" s="94" customFormat="1">
      <c r="A547" s="288"/>
      <c r="B547" s="140"/>
      <c r="C547" s="294"/>
      <c r="D547" s="139"/>
      <c r="E547" s="79"/>
      <c r="F547" s="87">
        <v>0</v>
      </c>
      <c r="G547" s="86"/>
    </row>
    <row r="548" spans="1:7" s="94" customFormat="1">
      <c r="A548" s="163"/>
      <c r="B548" s="163"/>
      <c r="C548" s="297"/>
      <c r="D548" s="297"/>
      <c r="E548" s="136"/>
      <c r="F548" s="87">
        <v>0</v>
      </c>
      <c r="G548" s="81"/>
    </row>
    <row r="549" spans="1:7" s="94" customFormat="1">
      <c r="A549" s="163"/>
      <c r="B549" s="163"/>
      <c r="C549" s="297"/>
      <c r="D549" s="297"/>
      <c r="E549" s="136"/>
      <c r="F549" s="87">
        <v>0</v>
      </c>
      <c r="G549" s="135"/>
    </row>
    <row r="550" spans="1:7" s="94" customFormat="1">
      <c r="A550" s="163"/>
      <c r="B550" s="163"/>
      <c r="C550" s="297"/>
      <c r="D550" s="297"/>
      <c r="E550" s="136"/>
      <c r="F550" s="87">
        <v>0</v>
      </c>
      <c r="G550" s="135"/>
    </row>
    <row r="551" spans="1:7" s="94" customFormat="1">
      <c r="A551" s="163"/>
      <c r="B551" s="163"/>
      <c r="C551" s="297"/>
      <c r="D551" s="297"/>
      <c r="E551" s="136"/>
      <c r="F551" s="87">
        <v>0</v>
      </c>
      <c r="G551" s="135"/>
    </row>
    <row r="552" spans="1:7" s="94" customFormat="1">
      <c r="A552" s="163"/>
      <c r="B552" s="163"/>
      <c r="C552" s="297"/>
      <c r="D552" s="297"/>
      <c r="E552" s="136"/>
      <c r="F552" s="87">
        <v>0</v>
      </c>
      <c r="G552" s="135"/>
    </row>
    <row r="553" spans="1:7" s="94" customFormat="1">
      <c r="A553" s="163"/>
      <c r="B553" s="163"/>
      <c r="C553" s="297"/>
      <c r="D553" s="297"/>
      <c r="E553" s="136"/>
      <c r="F553" s="87">
        <v>0</v>
      </c>
      <c r="G553" s="135"/>
    </row>
    <row r="554" spans="1:7" s="94" customFormat="1">
      <c r="A554" s="163"/>
      <c r="B554" s="163"/>
      <c r="C554" s="297"/>
      <c r="D554" s="297"/>
      <c r="E554" s="136"/>
      <c r="F554" s="87">
        <v>0</v>
      </c>
      <c r="G554" s="135"/>
    </row>
    <row r="555" spans="1:7" s="94" customFormat="1">
      <c r="A555" s="163"/>
      <c r="B555" s="163"/>
      <c r="C555" s="297"/>
      <c r="D555" s="297"/>
      <c r="E555" s="136"/>
      <c r="F555" s="87">
        <v>0</v>
      </c>
      <c r="G555" s="135"/>
    </row>
    <row r="556" spans="1:7" s="94" customFormat="1">
      <c r="A556" s="163"/>
      <c r="B556" s="163"/>
      <c r="C556" s="297"/>
      <c r="D556" s="297"/>
      <c r="E556" s="136"/>
      <c r="F556" s="87">
        <v>0</v>
      </c>
      <c r="G556" s="135"/>
    </row>
    <row r="557" spans="1:7" s="94" customFormat="1">
      <c r="A557" s="163"/>
      <c r="B557" s="163"/>
      <c r="C557" s="297"/>
      <c r="D557" s="297"/>
      <c r="E557" s="136"/>
      <c r="F557" s="87">
        <v>0</v>
      </c>
      <c r="G557" s="135"/>
    </row>
    <row r="558" spans="1:7" s="94" customFormat="1">
      <c r="A558" s="163"/>
      <c r="B558" s="163"/>
      <c r="C558" s="297"/>
      <c r="D558" s="297"/>
      <c r="E558" s="136"/>
      <c r="F558" s="87">
        <v>0</v>
      </c>
      <c r="G558" s="135"/>
    </row>
    <row r="559" spans="1:7" s="94" customFormat="1">
      <c r="A559" s="163"/>
      <c r="B559" s="163"/>
      <c r="C559" s="297"/>
      <c r="D559" s="297"/>
      <c r="E559" s="136"/>
      <c r="F559" s="87">
        <v>0</v>
      </c>
      <c r="G559" s="135"/>
    </row>
    <row r="560" spans="1:7" s="94" customFormat="1">
      <c r="A560" s="163"/>
      <c r="B560" s="163"/>
      <c r="C560" s="297"/>
      <c r="D560" s="297"/>
      <c r="E560" s="136"/>
      <c r="F560" s="87">
        <v>0</v>
      </c>
      <c r="G560" s="135"/>
    </row>
    <row r="561" spans="1:7" s="94" customFormat="1">
      <c r="A561" s="163"/>
      <c r="B561" s="163"/>
      <c r="C561" s="297"/>
      <c r="D561" s="297"/>
      <c r="E561" s="136"/>
      <c r="F561" s="87">
        <v>0</v>
      </c>
      <c r="G561" s="135"/>
    </row>
    <row r="562" spans="1:7" s="94" customFormat="1">
      <c r="A562" s="163"/>
      <c r="B562" s="163"/>
      <c r="C562" s="297"/>
      <c r="D562" s="297"/>
      <c r="E562" s="136"/>
      <c r="F562" s="87">
        <v>0</v>
      </c>
      <c r="G562" s="135"/>
    </row>
    <row r="563" spans="1:7" s="94" customFormat="1">
      <c r="A563" s="163"/>
      <c r="B563" s="163"/>
      <c r="C563" s="297"/>
      <c r="D563" s="297"/>
      <c r="E563" s="136"/>
      <c r="F563" s="87">
        <v>0</v>
      </c>
      <c r="G563" s="135"/>
    </row>
    <row r="564" spans="1:7" s="94" customFormat="1">
      <c r="A564" s="163"/>
      <c r="B564" s="163"/>
      <c r="C564" s="297"/>
      <c r="D564" s="297"/>
      <c r="E564" s="136"/>
      <c r="F564" s="87">
        <v>0</v>
      </c>
      <c r="G564" s="135"/>
    </row>
    <row r="565" spans="1:7" s="94" customFormat="1">
      <c r="A565" s="163"/>
      <c r="B565" s="163"/>
      <c r="C565" s="297"/>
      <c r="D565" s="297"/>
      <c r="E565" s="136"/>
      <c r="F565" s="87">
        <v>0</v>
      </c>
      <c r="G565" s="135"/>
    </row>
    <row r="566" spans="1:7" s="94" customFormat="1">
      <c r="A566" s="163"/>
      <c r="B566" s="163"/>
      <c r="C566" s="297"/>
      <c r="D566" s="297"/>
      <c r="E566" s="136"/>
      <c r="F566" s="87">
        <v>0</v>
      </c>
      <c r="G566" s="135"/>
    </row>
    <row r="567" spans="1:7" s="94" customFormat="1">
      <c r="A567" s="163"/>
      <c r="B567" s="163"/>
      <c r="C567" s="297"/>
      <c r="D567" s="297"/>
      <c r="E567" s="136"/>
      <c r="F567" s="87">
        <v>0</v>
      </c>
      <c r="G567" s="135"/>
    </row>
    <row r="568" spans="1:7" s="94" customFormat="1">
      <c r="A568" s="163"/>
      <c r="B568" s="163"/>
      <c r="C568" s="297"/>
      <c r="D568" s="297"/>
      <c r="E568" s="136"/>
      <c r="F568" s="87">
        <v>0</v>
      </c>
      <c r="G568" s="135"/>
    </row>
    <row r="569" spans="1:7" s="94" customFormat="1">
      <c r="A569" s="163"/>
      <c r="B569" s="163"/>
      <c r="C569" s="297"/>
      <c r="D569" s="297"/>
      <c r="E569" s="136"/>
      <c r="F569" s="87">
        <v>0</v>
      </c>
      <c r="G569" s="135"/>
    </row>
    <row r="570" spans="1:7" s="94" customFormat="1">
      <c r="A570" s="163"/>
      <c r="B570" s="163"/>
      <c r="C570" s="297"/>
      <c r="D570" s="297"/>
      <c r="E570" s="136"/>
      <c r="F570" s="87">
        <v>0</v>
      </c>
      <c r="G570" s="135"/>
    </row>
    <row r="571" spans="1:7" s="94" customFormat="1">
      <c r="A571" s="155"/>
      <c r="B571" s="140"/>
      <c r="C571" s="153"/>
      <c r="D571" s="153"/>
      <c r="E571" s="92"/>
      <c r="F571" s="87">
        <v>0</v>
      </c>
      <c r="G571" s="135"/>
    </row>
    <row r="572" spans="1:7" s="94" customFormat="1">
      <c r="A572" s="155"/>
      <c r="B572" s="140"/>
      <c r="C572" s="153"/>
      <c r="D572" s="153"/>
      <c r="E572" s="92"/>
      <c r="F572" s="87">
        <v>0</v>
      </c>
    </row>
    <row r="573" spans="1:7" s="94" customFormat="1">
      <c r="A573" s="155"/>
      <c r="B573" s="140"/>
      <c r="C573" s="153"/>
      <c r="D573" s="153"/>
      <c r="E573" s="92"/>
      <c r="F573" s="87">
        <v>0</v>
      </c>
    </row>
    <row r="574" spans="1:7" s="94" customFormat="1">
      <c r="A574" s="155"/>
      <c r="B574" s="140"/>
      <c r="C574" s="153"/>
      <c r="D574" s="153"/>
      <c r="E574" s="92"/>
      <c r="F574" s="87">
        <v>0</v>
      </c>
    </row>
    <row r="575" spans="1:7" s="94" customFormat="1">
      <c r="A575" s="155"/>
      <c r="B575" s="140"/>
      <c r="C575" s="153"/>
      <c r="D575" s="153"/>
      <c r="E575" s="92"/>
      <c r="F575" s="87">
        <v>0</v>
      </c>
    </row>
    <row r="576" spans="1:7" s="94" customFormat="1">
      <c r="A576" s="155"/>
      <c r="B576" s="140"/>
      <c r="C576" s="153"/>
      <c r="D576" s="153"/>
      <c r="E576" s="92"/>
      <c r="F576" s="87">
        <v>0</v>
      </c>
    </row>
    <row r="577" spans="1:6" s="94" customFormat="1">
      <c r="A577" s="155"/>
      <c r="B577" s="140"/>
      <c r="C577" s="153"/>
      <c r="D577" s="153"/>
      <c r="E577" s="92"/>
      <c r="F577" s="87">
        <v>0</v>
      </c>
    </row>
    <row r="578" spans="1:6" s="94" customFormat="1">
      <c r="A578" s="155"/>
      <c r="B578" s="140"/>
      <c r="C578" s="153"/>
      <c r="D578" s="153"/>
      <c r="E578" s="92"/>
      <c r="F578" s="87">
        <v>0</v>
      </c>
    </row>
    <row r="579" spans="1:6" s="94" customFormat="1">
      <c r="A579" s="155"/>
      <c r="B579" s="140"/>
      <c r="C579" s="153"/>
      <c r="D579" s="153"/>
      <c r="E579" s="92"/>
      <c r="F579" s="87">
        <v>0</v>
      </c>
    </row>
    <row r="580" spans="1:6" s="94" customFormat="1">
      <c r="A580" s="155"/>
      <c r="B580" s="140"/>
      <c r="C580" s="153"/>
      <c r="D580" s="153"/>
      <c r="E580" s="92"/>
      <c r="F580" s="87">
        <v>0</v>
      </c>
    </row>
    <row r="581" spans="1:6" s="94" customFormat="1">
      <c r="A581" s="155"/>
      <c r="B581" s="140"/>
      <c r="C581" s="153"/>
      <c r="D581" s="153"/>
      <c r="E581" s="92"/>
      <c r="F581" s="87">
        <v>0</v>
      </c>
    </row>
    <row r="582" spans="1:6" s="94" customFormat="1">
      <c r="A582" s="155"/>
      <c r="B582" s="140"/>
      <c r="C582" s="153"/>
      <c r="D582" s="153"/>
      <c r="E582" s="92"/>
      <c r="F582" s="87">
        <v>0</v>
      </c>
    </row>
    <row r="583" spans="1:6" s="94" customFormat="1">
      <c r="A583" s="155"/>
      <c r="B583" s="140"/>
      <c r="C583" s="153"/>
      <c r="D583" s="153"/>
      <c r="E583" s="92"/>
      <c r="F583" s="87">
        <v>0</v>
      </c>
    </row>
    <row r="584" spans="1:6" s="94" customFormat="1">
      <c r="A584" s="155"/>
      <c r="B584" s="140"/>
      <c r="C584" s="153"/>
      <c r="D584" s="153"/>
      <c r="E584" s="92"/>
      <c r="F584" s="87">
        <v>0</v>
      </c>
    </row>
    <row r="585" spans="1:6" s="94" customFormat="1">
      <c r="A585" s="155"/>
      <c r="B585" s="140"/>
      <c r="C585" s="153"/>
      <c r="D585" s="153"/>
      <c r="E585" s="92"/>
      <c r="F585" s="87">
        <v>0</v>
      </c>
    </row>
    <row r="586" spans="1:6" s="94" customFormat="1">
      <c r="A586" s="155"/>
      <c r="B586" s="140"/>
      <c r="C586" s="153"/>
      <c r="D586" s="153"/>
      <c r="E586" s="92"/>
      <c r="F586" s="87">
        <v>0</v>
      </c>
    </row>
    <row r="587" spans="1:6" s="94" customFormat="1">
      <c r="A587" s="155"/>
      <c r="B587" s="140"/>
      <c r="C587" s="153"/>
      <c r="D587" s="153"/>
      <c r="E587" s="92"/>
      <c r="F587" s="87">
        <v>0</v>
      </c>
    </row>
    <row r="588" spans="1:6" s="94" customFormat="1">
      <c r="A588" s="155"/>
      <c r="B588" s="140"/>
      <c r="C588" s="153"/>
      <c r="D588" s="153"/>
      <c r="E588" s="92"/>
      <c r="F588" s="87">
        <v>0</v>
      </c>
    </row>
    <row r="589" spans="1:6" s="94" customFormat="1">
      <c r="A589" s="155"/>
      <c r="B589" s="140"/>
      <c r="C589" s="153"/>
      <c r="D589" s="153"/>
      <c r="E589" s="92"/>
      <c r="F589" s="87">
        <v>0</v>
      </c>
    </row>
    <row r="590" spans="1:6" s="94" customFormat="1">
      <c r="A590" s="155"/>
      <c r="B590" s="140"/>
      <c r="C590" s="153"/>
      <c r="D590" s="153"/>
      <c r="E590" s="92"/>
      <c r="F590" s="87">
        <v>0</v>
      </c>
    </row>
    <row r="591" spans="1:6" s="94" customFormat="1">
      <c r="A591" s="155"/>
      <c r="B591" s="140"/>
      <c r="C591" s="153"/>
      <c r="D591" s="153"/>
      <c r="E591" s="92"/>
      <c r="F591" s="87">
        <v>0</v>
      </c>
    </row>
    <row r="592" spans="1:6" s="94" customFormat="1">
      <c r="A592" s="155"/>
      <c r="B592" s="140"/>
      <c r="C592" s="153"/>
      <c r="D592" s="153"/>
      <c r="E592" s="92"/>
      <c r="F592" s="87">
        <v>0</v>
      </c>
    </row>
    <row r="593" spans="1:6" s="94" customFormat="1">
      <c r="A593" s="155"/>
      <c r="B593" s="140"/>
      <c r="C593" s="153"/>
      <c r="D593" s="153"/>
      <c r="E593" s="92"/>
      <c r="F593" s="87">
        <v>0</v>
      </c>
    </row>
    <row r="594" spans="1:6" s="94" customFormat="1">
      <c r="A594" s="155"/>
      <c r="B594" s="140"/>
      <c r="C594" s="153"/>
      <c r="D594" s="153"/>
      <c r="E594" s="92"/>
      <c r="F594" s="87">
        <v>0</v>
      </c>
    </row>
    <row r="595" spans="1:6" s="94" customFormat="1">
      <c r="A595" s="155"/>
      <c r="B595" s="140"/>
      <c r="C595" s="153"/>
      <c r="D595" s="153"/>
      <c r="E595" s="92"/>
      <c r="F595" s="87">
        <v>0</v>
      </c>
    </row>
    <row r="596" spans="1:6" s="94" customFormat="1">
      <c r="A596" s="155"/>
      <c r="B596" s="140"/>
      <c r="C596" s="153"/>
      <c r="D596" s="153"/>
      <c r="E596" s="92"/>
      <c r="F596" s="87">
        <v>0</v>
      </c>
    </row>
    <row r="597" spans="1:6" s="94" customFormat="1">
      <c r="A597" s="155"/>
      <c r="B597" s="140"/>
      <c r="C597" s="153"/>
      <c r="D597" s="153"/>
      <c r="E597" s="92"/>
      <c r="F597" s="87">
        <v>0</v>
      </c>
    </row>
    <row r="598" spans="1:6" s="94" customFormat="1">
      <c r="A598" s="155"/>
      <c r="B598" s="140"/>
      <c r="C598" s="153"/>
      <c r="D598" s="153"/>
      <c r="E598" s="92"/>
      <c r="F598" s="87">
        <v>0</v>
      </c>
    </row>
    <row r="599" spans="1:6" s="94" customFormat="1">
      <c r="A599" s="155"/>
      <c r="B599" s="140"/>
      <c r="C599" s="153"/>
      <c r="D599" s="153"/>
      <c r="E599" s="92"/>
      <c r="F599" s="87">
        <v>0</v>
      </c>
    </row>
    <row r="600" spans="1:6" s="94" customFormat="1">
      <c r="A600" s="155"/>
      <c r="B600" s="140"/>
      <c r="C600" s="153"/>
      <c r="D600" s="153"/>
      <c r="E600" s="92"/>
      <c r="F600" s="87">
        <v>0</v>
      </c>
    </row>
    <row r="601" spans="1:6" s="94" customFormat="1">
      <c r="A601" s="155"/>
      <c r="B601" s="140"/>
      <c r="C601" s="153"/>
      <c r="D601" s="153"/>
      <c r="E601" s="92"/>
      <c r="F601" s="87">
        <v>0</v>
      </c>
    </row>
    <row r="602" spans="1:6" s="94" customFormat="1">
      <c r="A602" s="155"/>
      <c r="B602" s="140"/>
      <c r="C602" s="153"/>
      <c r="D602" s="153"/>
      <c r="E602" s="92"/>
      <c r="F602" s="87">
        <v>0</v>
      </c>
    </row>
    <row r="603" spans="1:6" s="94" customFormat="1">
      <c r="A603" s="155"/>
      <c r="B603" s="140"/>
      <c r="C603" s="153"/>
      <c r="D603" s="153"/>
      <c r="E603" s="92"/>
      <c r="F603" s="87">
        <v>0</v>
      </c>
    </row>
    <row r="604" spans="1:6" s="94" customFormat="1">
      <c r="A604" s="155"/>
      <c r="B604" s="140"/>
      <c r="C604" s="153"/>
      <c r="D604" s="153"/>
      <c r="E604" s="92"/>
      <c r="F604" s="87">
        <v>0</v>
      </c>
    </row>
    <row r="605" spans="1:6" s="94" customFormat="1">
      <c r="A605" s="155"/>
      <c r="B605" s="140"/>
      <c r="C605" s="153"/>
      <c r="D605" s="153"/>
      <c r="E605" s="92"/>
      <c r="F605" s="87">
        <v>0</v>
      </c>
    </row>
    <row r="606" spans="1:6" s="94" customFormat="1">
      <c r="A606" s="155"/>
      <c r="B606" s="140"/>
      <c r="C606" s="153"/>
      <c r="D606" s="153"/>
      <c r="E606" s="92"/>
      <c r="F606" s="87">
        <v>0</v>
      </c>
    </row>
    <row r="607" spans="1:6" s="94" customFormat="1">
      <c r="A607" s="155"/>
      <c r="B607" s="140"/>
      <c r="C607" s="153"/>
      <c r="D607" s="153"/>
      <c r="E607" s="92"/>
      <c r="F607" s="87">
        <v>0</v>
      </c>
    </row>
    <row r="608" spans="1:6" s="94" customFormat="1">
      <c r="A608" s="155"/>
      <c r="B608" s="140"/>
      <c r="C608" s="153"/>
      <c r="D608" s="153"/>
      <c r="E608" s="92"/>
      <c r="F608" s="87">
        <v>0</v>
      </c>
    </row>
    <row r="609" spans="1:6" s="94" customFormat="1">
      <c r="A609" s="155"/>
      <c r="B609" s="140"/>
      <c r="C609" s="153"/>
      <c r="D609" s="153"/>
      <c r="E609" s="92"/>
      <c r="F609" s="87">
        <v>0</v>
      </c>
    </row>
    <row r="610" spans="1:6" s="94" customFormat="1">
      <c r="A610" s="155"/>
      <c r="B610" s="140"/>
      <c r="C610" s="153"/>
      <c r="D610" s="153"/>
      <c r="E610" s="92"/>
      <c r="F610" s="87">
        <v>0</v>
      </c>
    </row>
    <row r="611" spans="1:6" s="94" customFormat="1">
      <c r="A611" s="155"/>
      <c r="B611" s="140"/>
      <c r="C611" s="153"/>
      <c r="D611" s="153"/>
      <c r="E611" s="92"/>
      <c r="F611" s="87">
        <v>0</v>
      </c>
    </row>
    <row r="612" spans="1:6" s="94" customFormat="1">
      <c r="A612" s="155"/>
      <c r="B612" s="140"/>
      <c r="C612" s="153"/>
      <c r="D612" s="153"/>
      <c r="E612" s="92"/>
      <c r="F612" s="87">
        <v>0</v>
      </c>
    </row>
    <row r="613" spans="1:6" s="94" customFormat="1">
      <c r="A613" s="155"/>
      <c r="B613" s="140"/>
      <c r="C613" s="153"/>
      <c r="D613" s="153"/>
      <c r="E613" s="92"/>
      <c r="F613" s="87">
        <v>0</v>
      </c>
    </row>
    <row r="614" spans="1:6" s="94" customFormat="1">
      <c r="A614" s="155"/>
      <c r="B614" s="140"/>
      <c r="C614" s="153"/>
      <c r="D614" s="153"/>
      <c r="E614" s="92"/>
      <c r="F614" s="87">
        <v>0</v>
      </c>
    </row>
    <row r="615" spans="1:6" s="94" customFormat="1">
      <c r="A615" s="155"/>
      <c r="B615" s="140"/>
      <c r="C615" s="153"/>
      <c r="D615" s="153"/>
      <c r="E615" s="92"/>
      <c r="F615" s="87">
        <v>0</v>
      </c>
    </row>
    <row r="616" spans="1:6" s="94" customFormat="1">
      <c r="A616" s="155"/>
      <c r="B616" s="140"/>
      <c r="C616" s="153"/>
      <c r="D616" s="153"/>
      <c r="E616" s="92"/>
      <c r="F616" s="87">
        <v>0</v>
      </c>
    </row>
    <row r="617" spans="1:6" s="94" customFormat="1">
      <c r="A617" s="155"/>
      <c r="B617" s="140"/>
      <c r="C617" s="153"/>
      <c r="D617" s="153"/>
      <c r="E617" s="92"/>
      <c r="F617" s="87">
        <v>0</v>
      </c>
    </row>
    <row r="618" spans="1:6" s="94" customFormat="1">
      <c r="A618" s="155"/>
      <c r="B618" s="140"/>
      <c r="C618" s="153"/>
      <c r="D618" s="153"/>
      <c r="E618" s="92"/>
      <c r="F618" s="87">
        <v>0</v>
      </c>
    </row>
    <row r="619" spans="1:6" s="94" customFormat="1">
      <c r="A619" s="155"/>
      <c r="B619" s="140"/>
      <c r="C619" s="153"/>
      <c r="D619" s="153"/>
      <c r="E619" s="92"/>
      <c r="F619" s="87">
        <v>0</v>
      </c>
    </row>
    <row r="620" spans="1:6" s="94" customFormat="1">
      <c r="A620" s="155"/>
      <c r="B620" s="140"/>
      <c r="C620" s="153"/>
      <c r="D620" s="153"/>
      <c r="E620" s="92"/>
      <c r="F620" s="87">
        <v>0</v>
      </c>
    </row>
    <row r="621" spans="1:6" s="94" customFormat="1">
      <c r="A621" s="155"/>
      <c r="B621" s="140"/>
      <c r="C621" s="153"/>
      <c r="D621" s="153"/>
      <c r="E621" s="92"/>
      <c r="F621" s="87">
        <v>0</v>
      </c>
    </row>
    <row r="622" spans="1:6" s="94" customFormat="1">
      <c r="A622" s="155"/>
      <c r="B622" s="140"/>
      <c r="C622" s="153"/>
      <c r="D622" s="153"/>
      <c r="E622" s="92"/>
      <c r="F622" s="87">
        <v>0</v>
      </c>
    </row>
    <row r="623" spans="1:6" s="94" customFormat="1">
      <c r="A623" s="155"/>
      <c r="B623" s="140"/>
      <c r="C623" s="153"/>
      <c r="D623" s="153"/>
      <c r="E623" s="92"/>
      <c r="F623" s="87">
        <v>0</v>
      </c>
    </row>
    <row r="624" spans="1:6" s="94" customFormat="1">
      <c r="A624" s="155"/>
      <c r="B624" s="140"/>
      <c r="C624" s="153"/>
      <c r="D624" s="153"/>
      <c r="E624" s="92"/>
      <c r="F624" s="87">
        <v>0</v>
      </c>
    </row>
    <row r="625" spans="1:7" s="94" customFormat="1">
      <c r="A625" s="155"/>
      <c r="B625" s="140"/>
      <c r="C625" s="153"/>
      <c r="D625" s="153"/>
      <c r="E625" s="92"/>
      <c r="F625" s="87">
        <v>0</v>
      </c>
    </row>
    <row r="626" spans="1:7" s="94" customFormat="1">
      <c r="A626" s="155"/>
      <c r="B626" s="140"/>
      <c r="C626" s="153"/>
      <c r="D626" s="153"/>
      <c r="E626" s="92"/>
      <c r="F626" s="87">
        <v>0</v>
      </c>
    </row>
    <row r="627" spans="1:7" s="94" customFormat="1">
      <c r="A627" s="155"/>
      <c r="B627" s="140"/>
      <c r="C627" s="153"/>
      <c r="D627" s="153"/>
      <c r="E627" s="92"/>
      <c r="F627" s="87">
        <v>0</v>
      </c>
    </row>
    <row r="628" spans="1:7">
      <c r="A628" s="155"/>
      <c r="B628" s="140"/>
      <c r="C628" s="153"/>
      <c r="D628" s="153"/>
      <c r="E628" s="92"/>
      <c r="F628" s="87">
        <v>0</v>
      </c>
      <c r="G628" s="94"/>
    </row>
    <row r="629" spans="1:7">
      <c r="A629" s="155"/>
      <c r="B629" s="140"/>
      <c r="C629" s="153"/>
      <c r="D629" s="153"/>
      <c r="E629" s="92"/>
      <c r="F629" s="87">
        <v>0</v>
      </c>
      <c r="G629" s="94"/>
    </row>
    <row r="630" spans="1:7">
      <c r="A630" s="155"/>
      <c r="B630" s="140"/>
      <c r="C630" s="153"/>
      <c r="D630" s="153"/>
      <c r="E630" s="92"/>
      <c r="F630" s="87">
        <v>0</v>
      </c>
      <c r="G630" s="94"/>
    </row>
    <row r="631" spans="1:7">
      <c r="A631" s="155"/>
      <c r="B631" s="140"/>
      <c r="C631" s="153"/>
      <c r="D631" s="153"/>
      <c r="E631" s="92"/>
      <c r="F631" s="87">
        <v>0</v>
      </c>
      <c r="G631" s="94"/>
    </row>
    <row r="632" spans="1:7">
      <c r="A632" s="155"/>
      <c r="B632" s="140"/>
      <c r="C632" s="153"/>
      <c r="D632" s="153"/>
      <c r="E632" s="92"/>
      <c r="F632" s="87">
        <v>0</v>
      </c>
      <c r="G632" s="94"/>
    </row>
    <row r="633" spans="1:7">
      <c r="A633" s="155"/>
      <c r="B633" s="140"/>
      <c r="C633" s="153"/>
      <c r="D633" s="153"/>
      <c r="E633" s="92"/>
      <c r="F633" s="87">
        <v>0</v>
      </c>
      <c r="G633" s="94"/>
    </row>
    <row r="634" spans="1:7">
      <c r="A634" s="155"/>
      <c r="B634" s="140"/>
      <c r="C634" s="153"/>
      <c r="D634" s="153"/>
      <c r="E634" s="92"/>
      <c r="F634" s="87">
        <v>0</v>
      </c>
      <c r="G634" s="94"/>
    </row>
    <row r="635" spans="1:7">
      <c r="A635" s="155"/>
      <c r="B635" s="140"/>
      <c r="C635" s="153"/>
      <c r="D635" s="153"/>
      <c r="E635" s="92"/>
      <c r="F635" s="87">
        <v>0</v>
      </c>
      <c r="G635" s="94"/>
    </row>
    <row r="636" spans="1:7">
      <c r="A636" s="155"/>
      <c r="B636" s="140"/>
      <c r="C636" s="153"/>
      <c r="D636" s="153"/>
      <c r="E636" s="92"/>
      <c r="F636" s="87">
        <v>0</v>
      </c>
      <c r="G636" s="94"/>
    </row>
    <row r="637" spans="1:7">
      <c r="A637" s="155"/>
      <c r="B637" s="140"/>
      <c r="C637" s="153"/>
      <c r="D637" s="153"/>
      <c r="E637" s="92"/>
      <c r="F637" s="87">
        <v>0</v>
      </c>
      <c r="G637" s="94"/>
    </row>
    <row r="638" spans="1:7">
      <c r="A638" s="155"/>
      <c r="B638" s="140"/>
      <c r="C638" s="153"/>
      <c r="D638" s="153"/>
      <c r="E638" s="92"/>
      <c r="F638" s="87">
        <v>0</v>
      </c>
      <c r="G638" s="94"/>
    </row>
    <row r="639" spans="1:7">
      <c r="A639" s="155"/>
      <c r="B639" s="140"/>
      <c r="C639" s="153"/>
      <c r="D639" s="153"/>
      <c r="E639" s="92"/>
      <c r="F639" s="87">
        <v>0</v>
      </c>
      <c r="G639" s="94"/>
    </row>
    <row r="640" spans="1:7">
      <c r="A640" s="155"/>
      <c r="B640" s="140"/>
      <c r="C640" s="153"/>
      <c r="D640" s="153"/>
      <c r="E640" s="92"/>
      <c r="F640" s="87">
        <v>0</v>
      </c>
      <c r="G640" s="94"/>
    </row>
    <row r="641" spans="1:7">
      <c r="A641" s="155"/>
      <c r="B641" s="140"/>
      <c r="C641" s="153"/>
      <c r="D641" s="153"/>
      <c r="E641" s="92"/>
      <c r="F641" s="87">
        <v>0</v>
      </c>
      <c r="G641" s="94"/>
    </row>
    <row r="642" spans="1:7">
      <c r="A642" s="155"/>
      <c r="B642" s="140"/>
      <c r="C642" s="153"/>
      <c r="D642" s="153"/>
      <c r="E642" s="92"/>
      <c r="F642" s="87">
        <v>0</v>
      </c>
      <c r="G642" s="94"/>
    </row>
    <row r="643" spans="1:7">
      <c r="A643" s="155"/>
      <c r="B643" s="140"/>
      <c r="C643" s="153"/>
      <c r="D643" s="153"/>
      <c r="E643" s="92"/>
      <c r="F643" s="87">
        <v>0</v>
      </c>
      <c r="G643" s="94"/>
    </row>
    <row r="644" spans="1:7">
      <c r="A644" s="155"/>
      <c r="B644" s="140"/>
      <c r="C644" s="153"/>
      <c r="D644" s="153"/>
      <c r="E644" s="92"/>
      <c r="F644" s="87">
        <v>0</v>
      </c>
      <c r="G644" s="94"/>
    </row>
    <row r="645" spans="1:7">
      <c r="A645" s="155"/>
      <c r="B645" s="140"/>
      <c r="C645" s="153"/>
      <c r="D645" s="153"/>
      <c r="E645" s="92"/>
      <c r="F645" s="87">
        <v>0</v>
      </c>
      <c r="G645" s="94"/>
    </row>
    <row r="646" spans="1:7">
      <c r="A646" s="155"/>
      <c r="B646" s="140"/>
      <c r="C646" s="153"/>
      <c r="D646" s="153"/>
      <c r="E646" s="92"/>
      <c r="F646" s="87">
        <v>0</v>
      </c>
      <c r="G646" s="94"/>
    </row>
    <row r="647" spans="1:7">
      <c r="A647" s="155"/>
      <c r="B647" s="140"/>
      <c r="C647" s="153"/>
      <c r="D647" s="153"/>
      <c r="E647" s="92"/>
      <c r="F647" s="87">
        <v>0</v>
      </c>
      <c r="G647" s="94"/>
    </row>
    <row r="648" spans="1:7">
      <c r="A648" s="155"/>
      <c r="B648" s="140"/>
      <c r="C648" s="153"/>
      <c r="D648" s="153"/>
      <c r="E648" s="92"/>
      <c r="F648" s="87">
        <v>0</v>
      </c>
      <c r="G648" s="94"/>
    </row>
    <row r="649" spans="1:7">
      <c r="A649" s="155"/>
      <c r="B649" s="140"/>
      <c r="C649" s="153"/>
      <c r="D649" s="153"/>
      <c r="E649" s="92"/>
      <c r="F649" s="87">
        <v>0</v>
      </c>
      <c r="G649" s="94"/>
    </row>
    <row r="650" spans="1:7">
      <c r="A650" s="155"/>
      <c r="B650" s="140"/>
      <c r="C650" s="153"/>
      <c r="D650" s="153"/>
      <c r="E650" s="92"/>
      <c r="F650" s="87">
        <v>0</v>
      </c>
      <c r="G650" s="94"/>
    </row>
    <row r="651" spans="1:7">
      <c r="A651" s="155"/>
      <c r="B651" s="140"/>
      <c r="C651" s="153"/>
      <c r="D651" s="153"/>
      <c r="E651" s="92"/>
      <c r="F651" s="87">
        <v>0</v>
      </c>
      <c r="G651" s="94"/>
    </row>
    <row r="652" spans="1:7">
      <c r="A652" s="155"/>
      <c r="B652" s="140"/>
      <c r="C652" s="153"/>
      <c r="D652" s="153"/>
      <c r="E652" s="92"/>
      <c r="F652" s="87">
        <v>0</v>
      </c>
      <c r="G652" s="94"/>
    </row>
    <row r="653" spans="1:7">
      <c r="A653" s="155"/>
      <c r="B653" s="140"/>
      <c r="C653" s="153"/>
      <c r="D653" s="153"/>
      <c r="E653" s="92"/>
      <c r="F653" s="87">
        <v>0</v>
      </c>
      <c r="G653" s="94"/>
    </row>
    <row r="654" spans="1:7">
      <c r="A654" s="155"/>
      <c r="B654" s="140"/>
      <c r="C654" s="153"/>
      <c r="D654" s="153"/>
      <c r="E654" s="92"/>
      <c r="F654" s="87">
        <v>0</v>
      </c>
      <c r="G654" s="94"/>
    </row>
    <row r="655" spans="1:7">
      <c r="A655" s="155"/>
      <c r="B655" s="140"/>
      <c r="C655" s="153"/>
      <c r="D655" s="153"/>
      <c r="E655" s="92"/>
      <c r="F655" s="87">
        <v>0</v>
      </c>
      <c r="G655" s="94"/>
    </row>
    <row r="656" spans="1:7">
      <c r="A656" s="155"/>
      <c r="B656" s="140"/>
      <c r="C656" s="153"/>
      <c r="D656" s="153"/>
      <c r="E656" s="92"/>
      <c r="F656" s="87">
        <v>0</v>
      </c>
      <c r="G656" s="94"/>
    </row>
    <row r="657" spans="1:7">
      <c r="A657" s="155"/>
      <c r="B657" s="140"/>
      <c r="C657" s="153"/>
      <c r="D657" s="153"/>
      <c r="E657" s="92"/>
      <c r="F657" s="87">
        <v>0</v>
      </c>
      <c r="G657" s="94"/>
    </row>
    <row r="658" spans="1:7">
      <c r="A658" s="155"/>
      <c r="B658" s="140"/>
      <c r="C658" s="153"/>
      <c r="D658" s="153"/>
      <c r="E658" s="92"/>
      <c r="F658" s="87">
        <v>0</v>
      </c>
      <c r="G658" s="94"/>
    </row>
    <row r="659" spans="1:7">
      <c r="A659" s="155"/>
      <c r="B659" s="140"/>
      <c r="C659" s="153"/>
      <c r="D659" s="153"/>
      <c r="E659" s="92"/>
      <c r="F659" s="87">
        <v>0</v>
      </c>
      <c r="G659" s="94"/>
    </row>
    <row r="660" spans="1:7">
      <c r="A660" s="155"/>
      <c r="B660" s="140"/>
      <c r="C660" s="153"/>
      <c r="D660" s="153"/>
      <c r="E660" s="92"/>
      <c r="F660" s="87">
        <v>0</v>
      </c>
      <c r="G660" s="94"/>
    </row>
    <row r="661" spans="1:7">
      <c r="A661" s="155"/>
      <c r="B661" s="140"/>
      <c r="C661" s="153"/>
      <c r="D661" s="153"/>
      <c r="E661" s="92"/>
      <c r="F661" s="87">
        <v>0</v>
      </c>
      <c r="G661" s="94"/>
    </row>
    <row r="662" spans="1:7">
      <c r="A662" s="155"/>
      <c r="B662" s="140"/>
      <c r="C662" s="153"/>
      <c r="D662" s="153"/>
      <c r="E662" s="92"/>
      <c r="F662" s="87">
        <v>0</v>
      </c>
      <c r="G662" s="94"/>
    </row>
    <row r="663" spans="1:7">
      <c r="A663" s="155"/>
      <c r="B663" s="140"/>
      <c r="C663" s="153"/>
      <c r="D663" s="153"/>
      <c r="E663" s="92"/>
      <c r="F663" s="87">
        <v>0</v>
      </c>
      <c r="G663" s="94"/>
    </row>
    <row r="664" spans="1:7">
      <c r="A664" s="155"/>
      <c r="B664" s="140"/>
      <c r="C664" s="153"/>
      <c r="D664" s="153"/>
      <c r="E664" s="92"/>
      <c r="F664" s="87">
        <v>0</v>
      </c>
      <c r="G664" s="94"/>
    </row>
    <row r="665" spans="1:7">
      <c r="A665" s="155"/>
      <c r="B665" s="140"/>
      <c r="C665" s="153"/>
      <c r="D665" s="153"/>
      <c r="E665" s="92"/>
      <c r="F665" s="87">
        <v>0</v>
      </c>
      <c r="G665" s="94"/>
    </row>
    <row r="666" spans="1:7">
      <c r="A666" s="155"/>
      <c r="B666" s="140"/>
      <c r="C666" s="153"/>
      <c r="D666" s="153"/>
      <c r="E666" s="92"/>
      <c r="F666" s="87">
        <v>0</v>
      </c>
      <c r="G666" s="94"/>
    </row>
    <row r="667" spans="1:7">
      <c r="A667" s="155"/>
      <c r="B667" s="140"/>
      <c r="C667" s="153"/>
      <c r="D667" s="153"/>
      <c r="E667" s="92"/>
      <c r="F667" s="87">
        <v>0</v>
      </c>
      <c r="G667" s="94"/>
    </row>
    <row r="668" spans="1:7">
      <c r="A668" s="155"/>
      <c r="B668" s="140"/>
      <c r="C668" s="153"/>
      <c r="D668" s="153"/>
      <c r="E668" s="92"/>
      <c r="F668" s="87">
        <v>0</v>
      </c>
      <c r="G668" s="94"/>
    </row>
    <row r="669" spans="1:7">
      <c r="A669" s="155"/>
      <c r="B669" s="140"/>
      <c r="C669" s="153"/>
      <c r="D669" s="153"/>
      <c r="E669" s="92"/>
      <c r="F669" s="87">
        <v>0</v>
      </c>
      <c r="G669" s="94"/>
    </row>
    <row r="670" spans="1:7">
      <c r="A670" s="155"/>
      <c r="B670" s="140"/>
      <c r="C670" s="153"/>
      <c r="D670" s="153"/>
      <c r="E670" s="92"/>
      <c r="F670" s="87">
        <v>0</v>
      </c>
      <c r="G670" s="94"/>
    </row>
    <row r="671" spans="1:7">
      <c r="A671" s="155"/>
      <c r="B671" s="140"/>
      <c r="C671" s="153"/>
      <c r="D671" s="153"/>
      <c r="E671" s="92"/>
      <c r="F671" s="87">
        <v>0</v>
      </c>
      <c r="G671" s="94"/>
    </row>
    <row r="672" spans="1:7">
      <c r="A672" s="155"/>
      <c r="B672" s="140"/>
      <c r="C672" s="153"/>
      <c r="D672" s="153"/>
      <c r="E672" s="92"/>
      <c r="F672" s="87">
        <v>0</v>
      </c>
      <c r="G672" s="94"/>
    </row>
    <row r="673" spans="1:7">
      <c r="A673" s="155"/>
      <c r="B673" s="140"/>
      <c r="C673" s="153"/>
      <c r="D673" s="153"/>
      <c r="E673" s="92"/>
      <c r="F673" s="87">
        <v>0</v>
      </c>
      <c r="G673" s="94"/>
    </row>
    <row r="674" spans="1:7">
      <c r="A674" s="155"/>
      <c r="B674" s="140"/>
      <c r="C674" s="153"/>
      <c r="D674" s="153"/>
      <c r="E674" s="92"/>
      <c r="F674" s="87">
        <v>0</v>
      </c>
      <c r="G674" s="94"/>
    </row>
    <row r="675" spans="1:7">
      <c r="A675" s="155"/>
      <c r="B675" s="140"/>
      <c r="C675" s="153"/>
      <c r="D675" s="153"/>
      <c r="E675" s="92"/>
      <c r="F675" s="87">
        <v>0</v>
      </c>
      <c r="G675" s="94"/>
    </row>
    <row r="676" spans="1:7">
      <c r="A676" s="155"/>
      <c r="B676" s="140"/>
      <c r="C676" s="153"/>
      <c r="D676" s="153"/>
      <c r="E676" s="92"/>
      <c r="F676" s="87">
        <v>0</v>
      </c>
      <c r="G676" s="94"/>
    </row>
    <row r="677" spans="1:7">
      <c r="A677" s="155"/>
      <c r="B677" s="140"/>
      <c r="C677" s="153"/>
      <c r="D677" s="153"/>
      <c r="E677" s="92"/>
      <c r="F677" s="87">
        <v>0</v>
      </c>
      <c r="G677" s="94"/>
    </row>
    <row r="678" spans="1:7">
      <c r="F678" s="87">
        <v>0</v>
      </c>
      <c r="G678" s="94"/>
    </row>
    <row r="679" spans="1:7">
      <c r="F679" s="87">
        <v>0</v>
      </c>
    </row>
    <row r="680" spans="1:7">
      <c r="F680" s="87">
        <v>0</v>
      </c>
    </row>
    <row r="681" spans="1:7">
      <c r="F681" s="87">
        <v>0</v>
      </c>
    </row>
    <row r="682" spans="1:7">
      <c r="F682" s="87">
        <v>0</v>
      </c>
    </row>
    <row r="683" spans="1:7">
      <c r="F683" s="87">
        <v>0</v>
      </c>
    </row>
    <row r="684" spans="1:7">
      <c r="F684" s="87">
        <v>0</v>
      </c>
    </row>
    <row r="685" spans="1:7">
      <c r="F685" s="87">
        <v>0</v>
      </c>
    </row>
    <row r="686" spans="1:7">
      <c r="F686" s="87">
        <v>0</v>
      </c>
    </row>
    <row r="687" spans="1:7">
      <c r="F687" s="87">
        <v>0</v>
      </c>
    </row>
    <row r="688" spans="1:7">
      <c r="F688" s="87">
        <v>0</v>
      </c>
    </row>
    <row r="689" spans="6:6">
      <c r="F689" s="87">
        <v>0</v>
      </c>
    </row>
    <row r="690" spans="6:6">
      <c r="F690" s="87">
        <v>0</v>
      </c>
    </row>
    <row r="691" spans="6:6">
      <c r="F691" s="87">
        <v>0</v>
      </c>
    </row>
    <row r="692" spans="6:6">
      <c r="F692" s="87">
        <v>0</v>
      </c>
    </row>
    <row r="693" spans="6:6">
      <c r="F693" s="87">
        <v>0</v>
      </c>
    </row>
    <row r="694" spans="6:6">
      <c r="F694" s="87">
        <v>0</v>
      </c>
    </row>
    <row r="695" spans="6:6">
      <c r="F695" s="87">
        <v>0</v>
      </c>
    </row>
    <row r="696" spans="6:6">
      <c r="F696" s="87">
        <v>0</v>
      </c>
    </row>
    <row r="697" spans="6:6">
      <c r="F697" s="87">
        <v>0</v>
      </c>
    </row>
    <row r="698" spans="6:6">
      <c r="F698" s="87">
        <v>0</v>
      </c>
    </row>
    <row r="699" spans="6:6">
      <c r="F699" s="87">
        <v>0</v>
      </c>
    </row>
    <row r="700" spans="6:6">
      <c r="F700" s="87">
        <v>0</v>
      </c>
    </row>
    <row r="701" spans="6:6">
      <c r="F701" s="87">
        <v>0</v>
      </c>
    </row>
    <row r="702" spans="6:6">
      <c r="F702" s="87">
        <v>0</v>
      </c>
    </row>
    <row r="703" spans="6:6">
      <c r="F703" s="87">
        <v>0</v>
      </c>
    </row>
    <row r="704" spans="6:6">
      <c r="F704" s="87">
        <v>0</v>
      </c>
    </row>
    <row r="705" spans="6:6">
      <c r="F705" s="87">
        <v>0</v>
      </c>
    </row>
    <row r="706" spans="6:6">
      <c r="F706" s="87">
        <v>0</v>
      </c>
    </row>
    <row r="707" spans="6:6">
      <c r="F707" s="87">
        <v>0</v>
      </c>
    </row>
    <row r="708" spans="6:6">
      <c r="F708" s="87">
        <v>0</v>
      </c>
    </row>
    <row r="709" spans="6:6">
      <c r="F709" s="87">
        <v>0</v>
      </c>
    </row>
    <row r="710" spans="6:6">
      <c r="F710" s="87">
        <v>0</v>
      </c>
    </row>
    <row r="711" spans="6:6">
      <c r="F711" s="87">
        <v>0</v>
      </c>
    </row>
    <row r="712" spans="6:6">
      <c r="F712" s="87">
        <v>0</v>
      </c>
    </row>
    <row r="713" spans="6:6">
      <c r="F713" s="87">
        <v>0</v>
      </c>
    </row>
    <row r="714" spans="6:6">
      <c r="F714" s="87">
        <v>0</v>
      </c>
    </row>
    <row r="715" spans="6:6">
      <c r="F715" s="87">
        <v>0</v>
      </c>
    </row>
    <row r="716" spans="6:6">
      <c r="F716" s="87">
        <v>0</v>
      </c>
    </row>
    <row r="717" spans="6:6">
      <c r="F717" s="87">
        <v>0</v>
      </c>
    </row>
    <row r="718" spans="6:6">
      <c r="F718" s="87">
        <v>0</v>
      </c>
    </row>
    <row r="719" spans="6:6">
      <c r="F719" s="87">
        <v>0</v>
      </c>
    </row>
    <row r="720" spans="6:6">
      <c r="F720" s="87">
        <v>0</v>
      </c>
    </row>
    <row r="721" spans="6:6">
      <c r="F721" s="87">
        <v>0</v>
      </c>
    </row>
    <row r="722" spans="6:6">
      <c r="F722" s="87">
        <v>0</v>
      </c>
    </row>
    <row r="723" spans="6:6">
      <c r="F723" s="87">
        <v>0</v>
      </c>
    </row>
    <row r="724" spans="6:6">
      <c r="F724" s="87">
        <v>0</v>
      </c>
    </row>
    <row r="725" spans="6:6">
      <c r="F725" s="87">
        <v>0</v>
      </c>
    </row>
    <row r="726" spans="6:6">
      <c r="F726" s="87">
        <v>0</v>
      </c>
    </row>
    <row r="727" spans="6:6">
      <c r="F727" s="87">
        <v>0</v>
      </c>
    </row>
    <row r="728" spans="6:6">
      <c r="F728" s="87">
        <v>0</v>
      </c>
    </row>
    <row r="729" spans="6:6">
      <c r="F729" s="87">
        <v>0</v>
      </c>
    </row>
    <row r="730" spans="6:6">
      <c r="F730" s="87">
        <v>0</v>
      </c>
    </row>
    <row r="731" spans="6:6">
      <c r="F731" s="87">
        <v>0</v>
      </c>
    </row>
    <row r="732" spans="6:6">
      <c r="F732" s="87">
        <v>0</v>
      </c>
    </row>
    <row r="733" spans="6:6">
      <c r="F733" s="87">
        <v>0</v>
      </c>
    </row>
    <row r="734" spans="6:6">
      <c r="F734" s="87">
        <v>0</v>
      </c>
    </row>
    <row r="735" spans="6:6">
      <c r="F735" s="87">
        <v>0</v>
      </c>
    </row>
    <row r="736" spans="6:6">
      <c r="F736" s="87">
        <v>0</v>
      </c>
    </row>
    <row r="737" spans="6:6">
      <c r="F737" s="87">
        <v>0</v>
      </c>
    </row>
    <row r="738" spans="6:6">
      <c r="F738" s="87">
        <v>0</v>
      </c>
    </row>
    <row r="739" spans="6:6">
      <c r="F739" s="87">
        <v>0</v>
      </c>
    </row>
    <row r="740" spans="6:6">
      <c r="F740" s="87">
        <v>0</v>
      </c>
    </row>
    <row r="741" spans="6:6">
      <c r="F741" s="87">
        <v>0</v>
      </c>
    </row>
    <row r="742" spans="6:6">
      <c r="F742" s="87">
        <v>0</v>
      </c>
    </row>
    <row r="743" spans="6:6">
      <c r="F743" s="87">
        <v>0</v>
      </c>
    </row>
    <row r="744" spans="6:6">
      <c r="F744" s="87">
        <v>0</v>
      </c>
    </row>
    <row r="745" spans="6:6">
      <c r="F745" s="87">
        <v>0</v>
      </c>
    </row>
    <row r="746" spans="6:6">
      <c r="F746" s="87">
        <v>0</v>
      </c>
    </row>
    <row r="747" spans="6:6">
      <c r="F747" s="87">
        <v>0</v>
      </c>
    </row>
    <row r="748" spans="6:6">
      <c r="F748" s="87">
        <v>0</v>
      </c>
    </row>
    <row r="749" spans="6:6">
      <c r="F749" s="87">
        <v>0</v>
      </c>
    </row>
    <row r="750" spans="6:6">
      <c r="F750" s="87">
        <v>0</v>
      </c>
    </row>
    <row r="751" spans="6:6">
      <c r="F751" s="87">
        <v>0</v>
      </c>
    </row>
    <row r="752" spans="6:6">
      <c r="F752" s="87">
        <v>0</v>
      </c>
    </row>
    <row r="753" spans="6:6">
      <c r="F753" s="87">
        <v>0</v>
      </c>
    </row>
    <row r="754" spans="6:6">
      <c r="F754" s="87">
        <v>0</v>
      </c>
    </row>
    <row r="755" spans="6:6">
      <c r="F755" s="87">
        <v>0</v>
      </c>
    </row>
    <row r="756" spans="6:6">
      <c r="F756" s="87">
        <v>0</v>
      </c>
    </row>
    <row r="757" spans="6:6">
      <c r="F757" s="87">
        <v>0</v>
      </c>
    </row>
    <row r="758" spans="6:6">
      <c r="F758" s="87">
        <v>0</v>
      </c>
    </row>
    <row r="759" spans="6:6">
      <c r="F759" s="87">
        <v>0</v>
      </c>
    </row>
    <row r="760" spans="6:6">
      <c r="F760" s="87">
        <v>0</v>
      </c>
    </row>
    <row r="761" spans="6:6">
      <c r="F761" s="87">
        <v>0</v>
      </c>
    </row>
    <row r="762" spans="6:6">
      <c r="F762" s="87">
        <v>0</v>
      </c>
    </row>
    <row r="763" spans="6:6">
      <c r="F763" s="87">
        <v>0</v>
      </c>
    </row>
    <row r="764" spans="6:6">
      <c r="F764" s="87">
        <v>0</v>
      </c>
    </row>
    <row r="765" spans="6:6">
      <c r="F765" s="87">
        <v>0</v>
      </c>
    </row>
    <row r="766" spans="6:6">
      <c r="F766" s="87">
        <v>0</v>
      </c>
    </row>
    <row r="767" spans="6:6">
      <c r="F767" s="87">
        <v>0</v>
      </c>
    </row>
    <row r="768" spans="6:6">
      <c r="F768" s="87">
        <v>0</v>
      </c>
    </row>
    <row r="769" spans="6:6">
      <c r="F769" s="87">
        <v>0</v>
      </c>
    </row>
    <row r="770" spans="6:6">
      <c r="F770" s="87">
        <v>0</v>
      </c>
    </row>
    <row r="771" spans="6:6">
      <c r="F771" s="87">
        <v>0</v>
      </c>
    </row>
    <row r="772" spans="6:6">
      <c r="F772" s="87">
        <v>0</v>
      </c>
    </row>
    <row r="773" spans="6:6">
      <c r="F773" s="87">
        <v>0</v>
      </c>
    </row>
    <row r="774" spans="6:6">
      <c r="F774" s="87">
        <v>0</v>
      </c>
    </row>
    <row r="775" spans="6:6">
      <c r="F775" s="87">
        <v>0</v>
      </c>
    </row>
    <row r="776" spans="6:6">
      <c r="F776" s="87">
        <v>0</v>
      </c>
    </row>
    <row r="777" spans="6:6">
      <c r="F777" s="87">
        <v>0</v>
      </c>
    </row>
    <row r="778" spans="6:6">
      <c r="F778" s="87">
        <v>0</v>
      </c>
    </row>
    <row r="779" spans="6:6">
      <c r="F779" s="87">
        <v>0</v>
      </c>
    </row>
    <row r="780" spans="6:6">
      <c r="F780" s="87">
        <v>0</v>
      </c>
    </row>
    <row r="781" spans="6:6">
      <c r="F781" s="87">
        <v>0</v>
      </c>
    </row>
    <row r="782" spans="6:6">
      <c r="F782" s="87">
        <v>0</v>
      </c>
    </row>
    <row r="783" spans="6:6">
      <c r="F783" s="87">
        <v>0</v>
      </c>
    </row>
    <row r="784" spans="6:6">
      <c r="F784" s="87">
        <v>0</v>
      </c>
    </row>
    <row r="785" spans="6:6">
      <c r="F785" s="87">
        <v>0</v>
      </c>
    </row>
    <row r="786" spans="6:6">
      <c r="F786" s="87">
        <v>0</v>
      </c>
    </row>
    <row r="787" spans="6:6">
      <c r="F787" s="87">
        <v>0</v>
      </c>
    </row>
    <row r="788" spans="6:6">
      <c r="F788" s="87">
        <v>0</v>
      </c>
    </row>
    <row r="789" spans="6:6">
      <c r="F789" s="87">
        <v>0</v>
      </c>
    </row>
    <row r="790" spans="6:6">
      <c r="F790" s="87">
        <v>0</v>
      </c>
    </row>
    <row r="791" spans="6:6">
      <c r="F791" s="87">
        <v>0</v>
      </c>
    </row>
    <row r="792" spans="6:6">
      <c r="F792" s="87">
        <v>0</v>
      </c>
    </row>
    <row r="793" spans="6:6">
      <c r="F793" s="87">
        <v>0</v>
      </c>
    </row>
    <row r="794" spans="6:6">
      <c r="F794" s="87">
        <v>0</v>
      </c>
    </row>
    <row r="795" spans="6:6">
      <c r="F795" s="87">
        <v>0</v>
      </c>
    </row>
    <row r="796" spans="6:6">
      <c r="F796" s="87">
        <v>0</v>
      </c>
    </row>
    <row r="797" spans="6:6">
      <c r="F797" s="87">
        <v>0</v>
      </c>
    </row>
    <row r="798" spans="6:6">
      <c r="F798" s="87">
        <v>0</v>
      </c>
    </row>
    <row r="799" spans="6:6">
      <c r="F799" s="87">
        <v>0</v>
      </c>
    </row>
    <row r="800" spans="6:6">
      <c r="F800" s="87">
        <v>0</v>
      </c>
    </row>
    <row r="801" spans="6:6">
      <c r="F801" s="87">
        <v>0</v>
      </c>
    </row>
    <row r="802" spans="6:6">
      <c r="F802" s="87">
        <v>0</v>
      </c>
    </row>
    <row r="803" spans="6:6">
      <c r="F803" s="87">
        <v>0</v>
      </c>
    </row>
    <row r="804" spans="6:6">
      <c r="F804" s="87">
        <v>0</v>
      </c>
    </row>
    <row r="805" spans="6:6">
      <c r="F805" s="87">
        <v>0</v>
      </c>
    </row>
    <row r="806" spans="6:6">
      <c r="F806" s="87">
        <v>0</v>
      </c>
    </row>
    <row r="807" spans="6:6">
      <c r="F807" s="87">
        <v>0</v>
      </c>
    </row>
    <row r="808" spans="6:6">
      <c r="F808" s="87">
        <v>0</v>
      </c>
    </row>
    <row r="809" spans="6:6">
      <c r="F809" s="87">
        <v>0</v>
      </c>
    </row>
    <row r="810" spans="6:6">
      <c r="F810" s="87">
        <v>0</v>
      </c>
    </row>
    <row r="811" spans="6:6">
      <c r="F811" s="87">
        <v>0</v>
      </c>
    </row>
    <row r="812" spans="6:6">
      <c r="F812" s="87">
        <v>0</v>
      </c>
    </row>
    <row r="813" spans="6:6">
      <c r="F813" s="87">
        <v>0</v>
      </c>
    </row>
    <row r="814" spans="6:6">
      <c r="F814" s="87">
        <v>0</v>
      </c>
    </row>
    <row r="815" spans="6:6">
      <c r="F815" s="87">
        <v>0</v>
      </c>
    </row>
    <row r="816" spans="6:6">
      <c r="F816" s="87">
        <v>0</v>
      </c>
    </row>
    <row r="817" spans="6:6">
      <c r="F817" s="87">
        <v>0</v>
      </c>
    </row>
    <row r="818" spans="6:6">
      <c r="F818" s="87">
        <v>0</v>
      </c>
    </row>
    <row r="819" spans="6:6">
      <c r="F819" s="87">
        <v>0</v>
      </c>
    </row>
    <row r="820" spans="6:6">
      <c r="F820" s="87">
        <v>0</v>
      </c>
    </row>
    <row r="821" spans="6:6">
      <c r="F821" s="87">
        <v>0</v>
      </c>
    </row>
    <row r="822" spans="6:6">
      <c r="F822" s="87">
        <v>0</v>
      </c>
    </row>
    <row r="823" spans="6:6">
      <c r="F823" s="87">
        <v>0</v>
      </c>
    </row>
    <row r="824" spans="6:6">
      <c r="F824" s="87">
        <v>0</v>
      </c>
    </row>
    <row r="825" spans="6:6">
      <c r="F825" s="87">
        <v>0</v>
      </c>
    </row>
    <row r="826" spans="6:6">
      <c r="F826" s="87">
        <v>0</v>
      </c>
    </row>
    <row r="827" spans="6:6">
      <c r="F827" s="87">
        <v>0</v>
      </c>
    </row>
    <row r="828" spans="6:6">
      <c r="F828" s="87">
        <v>0</v>
      </c>
    </row>
    <row r="829" spans="6:6">
      <c r="F829" s="87">
        <v>0</v>
      </c>
    </row>
    <row r="830" spans="6:6">
      <c r="F830" s="87">
        <v>0</v>
      </c>
    </row>
    <row r="831" spans="6:6">
      <c r="F831" s="87">
        <v>0</v>
      </c>
    </row>
    <row r="832" spans="6:6">
      <c r="F832" s="87">
        <v>0</v>
      </c>
    </row>
    <row r="833" spans="6:6">
      <c r="F833" s="87">
        <v>0</v>
      </c>
    </row>
    <row r="834" spans="6:6">
      <c r="F834" s="87">
        <v>0</v>
      </c>
    </row>
    <row r="835" spans="6:6">
      <c r="F835" s="87">
        <v>0</v>
      </c>
    </row>
    <row r="836" spans="6:6">
      <c r="F836" s="87">
        <v>0</v>
      </c>
    </row>
    <row r="837" spans="6:6">
      <c r="F837" s="87">
        <v>0</v>
      </c>
    </row>
    <row r="838" spans="6:6">
      <c r="F838" s="87">
        <v>0</v>
      </c>
    </row>
    <row r="839" spans="6:6">
      <c r="F839" s="87">
        <v>0</v>
      </c>
    </row>
    <row r="840" spans="6:6">
      <c r="F840" s="87">
        <v>0</v>
      </c>
    </row>
    <row r="841" spans="6:6">
      <c r="F841" s="87">
        <v>0</v>
      </c>
    </row>
    <row r="842" spans="6:6">
      <c r="F842" s="87">
        <v>0</v>
      </c>
    </row>
    <row r="843" spans="6:6">
      <c r="F843" s="87">
        <v>0</v>
      </c>
    </row>
    <row r="844" spans="6:6">
      <c r="F844" s="87">
        <v>0</v>
      </c>
    </row>
    <row r="845" spans="6:6">
      <c r="F845" s="87">
        <v>0</v>
      </c>
    </row>
    <row r="846" spans="6:6">
      <c r="F846" s="87">
        <v>0</v>
      </c>
    </row>
    <row r="847" spans="6:6">
      <c r="F847" s="87">
        <v>0</v>
      </c>
    </row>
    <row r="848" spans="6:6">
      <c r="F848" s="87">
        <v>0</v>
      </c>
    </row>
    <row r="849" spans="6:6">
      <c r="F849" s="87">
        <v>0</v>
      </c>
    </row>
    <row r="850" spans="6:6">
      <c r="F850" s="87">
        <v>0</v>
      </c>
    </row>
    <row r="851" spans="6:6">
      <c r="F851" s="87">
        <v>0</v>
      </c>
    </row>
    <row r="852" spans="6:6">
      <c r="F852" s="87">
        <v>0</v>
      </c>
    </row>
    <row r="853" spans="6:6">
      <c r="F853" s="87">
        <v>0</v>
      </c>
    </row>
    <row r="854" spans="6:6">
      <c r="F854" s="87">
        <v>0</v>
      </c>
    </row>
    <row r="855" spans="6:6">
      <c r="F855" s="87">
        <v>0</v>
      </c>
    </row>
    <row r="856" spans="6:6">
      <c r="F856" s="87">
        <v>0</v>
      </c>
    </row>
    <row r="857" spans="6:6">
      <c r="F857" s="87">
        <v>0</v>
      </c>
    </row>
    <row r="858" spans="6:6">
      <c r="F858" s="87">
        <v>0</v>
      </c>
    </row>
    <row r="859" spans="6:6">
      <c r="F859" s="87">
        <v>0</v>
      </c>
    </row>
    <row r="860" spans="6:6">
      <c r="F860" s="87">
        <v>0</v>
      </c>
    </row>
    <row r="861" spans="6:6">
      <c r="F861" s="87">
        <v>0</v>
      </c>
    </row>
    <row r="862" spans="6:6">
      <c r="F862" s="87">
        <v>0</v>
      </c>
    </row>
    <row r="863" spans="6:6">
      <c r="F863" s="87">
        <v>0</v>
      </c>
    </row>
    <row r="864" spans="6:6">
      <c r="F864" s="87">
        <v>0</v>
      </c>
    </row>
    <row r="865" spans="6:6">
      <c r="F865" s="87">
        <v>0</v>
      </c>
    </row>
    <row r="866" spans="6:6">
      <c r="F866" s="87">
        <v>0</v>
      </c>
    </row>
    <row r="867" spans="6:6">
      <c r="F867" s="87">
        <v>0</v>
      </c>
    </row>
    <row r="868" spans="6:6">
      <c r="F868" s="87">
        <v>0</v>
      </c>
    </row>
    <row r="869" spans="6:6">
      <c r="F869" s="87">
        <v>0</v>
      </c>
    </row>
    <row r="870" spans="6:6">
      <c r="F870" s="87">
        <v>0</v>
      </c>
    </row>
    <row r="871" spans="6:6">
      <c r="F871" s="87">
        <v>0</v>
      </c>
    </row>
    <row r="872" spans="6:6">
      <c r="F872" s="87">
        <v>0</v>
      </c>
    </row>
    <row r="873" spans="6:6">
      <c r="F873" s="87">
        <v>0</v>
      </c>
    </row>
    <row r="874" spans="6:6">
      <c r="F874" s="87">
        <v>0</v>
      </c>
    </row>
    <row r="875" spans="6:6">
      <c r="F875" s="87">
        <v>0</v>
      </c>
    </row>
    <row r="876" spans="6:6">
      <c r="F876" s="87">
        <v>0</v>
      </c>
    </row>
    <row r="877" spans="6:6">
      <c r="F877" s="87">
        <v>0</v>
      </c>
    </row>
    <row r="878" spans="6:6">
      <c r="F878" s="87">
        <v>0</v>
      </c>
    </row>
    <row r="879" spans="6:6">
      <c r="F879" s="87">
        <v>0</v>
      </c>
    </row>
    <row r="880" spans="6:6">
      <c r="F880" s="87">
        <v>0</v>
      </c>
    </row>
    <row r="881" spans="6:6">
      <c r="F881" s="87">
        <v>0</v>
      </c>
    </row>
    <row r="882" spans="6:6">
      <c r="F882" s="87">
        <v>0</v>
      </c>
    </row>
    <row r="883" spans="6:6">
      <c r="F883" s="87">
        <v>0</v>
      </c>
    </row>
    <row r="884" spans="6:6">
      <c r="F884" s="87">
        <v>0</v>
      </c>
    </row>
    <row r="885" spans="6:6">
      <c r="F885" s="87">
        <v>0</v>
      </c>
    </row>
    <row r="886" spans="6:6">
      <c r="F886" s="87">
        <v>0</v>
      </c>
    </row>
    <row r="887" spans="6:6">
      <c r="F887" s="87">
        <v>0</v>
      </c>
    </row>
    <row r="888" spans="6:6">
      <c r="F888" s="87">
        <v>0</v>
      </c>
    </row>
    <row r="889" spans="6:6">
      <c r="F889" s="87">
        <v>0</v>
      </c>
    </row>
    <row r="890" spans="6:6">
      <c r="F890" s="87">
        <v>0</v>
      </c>
    </row>
    <row r="891" spans="6:6">
      <c r="F891" s="87">
        <v>0</v>
      </c>
    </row>
    <row r="892" spans="6:6">
      <c r="F892" s="87">
        <v>0</v>
      </c>
    </row>
    <row r="893" spans="6:6">
      <c r="F893" s="87">
        <v>0</v>
      </c>
    </row>
    <row r="894" spans="6:6">
      <c r="F894" s="87">
        <v>0</v>
      </c>
    </row>
    <row r="895" spans="6:6">
      <c r="F895" s="87">
        <v>0</v>
      </c>
    </row>
    <row r="896" spans="6:6">
      <c r="F896" s="87">
        <v>0</v>
      </c>
    </row>
    <row r="897" spans="6:6">
      <c r="F897" s="87">
        <v>0</v>
      </c>
    </row>
    <row r="898" spans="6:6">
      <c r="F898" s="87">
        <v>0</v>
      </c>
    </row>
    <row r="899" spans="6:6">
      <c r="F899" s="87">
        <v>0</v>
      </c>
    </row>
    <row r="900" spans="6:6">
      <c r="F900" s="87">
        <v>0</v>
      </c>
    </row>
    <row r="901" spans="6:6">
      <c r="F901" s="87">
        <v>0</v>
      </c>
    </row>
    <row r="902" spans="6:6">
      <c r="F902" s="87">
        <v>0</v>
      </c>
    </row>
    <row r="903" spans="6:6">
      <c r="F903" s="87">
        <v>0</v>
      </c>
    </row>
    <row r="904" spans="6:6">
      <c r="F904" s="87">
        <v>0</v>
      </c>
    </row>
    <row r="905" spans="6:6">
      <c r="F905" s="87">
        <v>0</v>
      </c>
    </row>
    <row r="906" spans="6:6">
      <c r="F906" s="87">
        <v>0</v>
      </c>
    </row>
    <row r="907" spans="6:6">
      <c r="F907" s="87">
        <v>0</v>
      </c>
    </row>
    <row r="908" spans="6:6">
      <c r="F908" s="87">
        <v>0</v>
      </c>
    </row>
    <row r="909" spans="6:6">
      <c r="F909" s="87">
        <v>0</v>
      </c>
    </row>
    <row r="910" spans="6:6">
      <c r="F910" s="87">
        <v>0</v>
      </c>
    </row>
    <row r="911" spans="6:6">
      <c r="F911" s="87">
        <v>0</v>
      </c>
    </row>
    <row r="912" spans="6:6">
      <c r="F912" s="87">
        <v>0</v>
      </c>
    </row>
    <row r="913" spans="6:6">
      <c r="F913" s="87">
        <v>0</v>
      </c>
    </row>
    <row r="914" spans="6:6">
      <c r="F914" s="87">
        <v>0</v>
      </c>
    </row>
    <row r="915" spans="6:6">
      <c r="F915" s="87">
        <v>0</v>
      </c>
    </row>
    <row r="916" spans="6:6">
      <c r="F916" s="87">
        <v>0</v>
      </c>
    </row>
    <row r="917" spans="6:6">
      <c r="F917" s="87">
        <v>0</v>
      </c>
    </row>
    <row r="918" spans="6:6">
      <c r="F918" s="87">
        <v>0</v>
      </c>
    </row>
    <row r="919" spans="6:6">
      <c r="F919" s="87">
        <v>0</v>
      </c>
    </row>
    <row r="920" spans="6:6">
      <c r="F920" s="87">
        <v>0</v>
      </c>
    </row>
    <row r="921" spans="6:6">
      <c r="F921" s="87">
        <v>0</v>
      </c>
    </row>
    <row r="922" spans="6:6">
      <c r="F922" s="87">
        <v>0</v>
      </c>
    </row>
    <row r="923" spans="6:6">
      <c r="F923" s="87">
        <v>0</v>
      </c>
    </row>
    <row r="924" spans="6:6">
      <c r="F924" s="87">
        <v>0</v>
      </c>
    </row>
    <row r="925" spans="6:6">
      <c r="F925" s="87">
        <v>0</v>
      </c>
    </row>
    <row r="926" spans="6:6">
      <c r="F926" s="87">
        <v>0</v>
      </c>
    </row>
    <row r="927" spans="6:6">
      <c r="F927" s="87">
        <v>0</v>
      </c>
    </row>
    <row r="928" spans="6:6">
      <c r="F928" s="87">
        <v>0</v>
      </c>
    </row>
    <row r="929" spans="6:6">
      <c r="F929" s="87">
        <v>0</v>
      </c>
    </row>
    <row r="930" spans="6:6">
      <c r="F930" s="87">
        <v>0</v>
      </c>
    </row>
    <row r="931" spans="6:6">
      <c r="F931" s="87">
        <v>0</v>
      </c>
    </row>
    <row r="932" spans="6:6">
      <c r="F932" s="87">
        <v>0</v>
      </c>
    </row>
    <row r="933" spans="6:6">
      <c r="F933" s="87">
        <v>0</v>
      </c>
    </row>
    <row r="934" spans="6:6">
      <c r="F934" s="87">
        <v>0</v>
      </c>
    </row>
    <row r="935" spans="6:6">
      <c r="F935" s="87">
        <v>0</v>
      </c>
    </row>
    <row r="936" spans="6:6">
      <c r="F936" s="87">
        <v>0</v>
      </c>
    </row>
    <row r="937" spans="6:6">
      <c r="F937" s="87">
        <v>0</v>
      </c>
    </row>
    <row r="938" spans="6:6">
      <c r="F938" s="87">
        <v>0</v>
      </c>
    </row>
    <row r="939" spans="6:6">
      <c r="F939" s="87">
        <v>0</v>
      </c>
    </row>
    <row r="940" spans="6:6">
      <c r="F940" s="87">
        <v>0</v>
      </c>
    </row>
    <row r="941" spans="6:6">
      <c r="F941" s="87">
        <v>0</v>
      </c>
    </row>
    <row r="942" spans="6:6">
      <c r="F942" s="87">
        <v>0</v>
      </c>
    </row>
    <row r="943" spans="6:6">
      <c r="F943" s="87">
        <v>0</v>
      </c>
    </row>
    <row r="944" spans="6:6">
      <c r="F944" s="87">
        <v>0</v>
      </c>
    </row>
    <row r="945" spans="6:6">
      <c r="F945" s="87">
        <v>0</v>
      </c>
    </row>
    <row r="946" spans="6:6">
      <c r="F946" s="87">
        <v>0</v>
      </c>
    </row>
    <row r="947" spans="6:6">
      <c r="F947" s="87">
        <v>0</v>
      </c>
    </row>
    <row r="948" spans="6:6">
      <c r="F948" s="87">
        <v>0</v>
      </c>
    </row>
    <row r="949" spans="6:6">
      <c r="F949" s="87">
        <v>0</v>
      </c>
    </row>
    <row r="950" spans="6:6">
      <c r="F950" s="87">
        <v>0</v>
      </c>
    </row>
    <row r="951" spans="6:6">
      <c r="F951" s="87">
        <v>0</v>
      </c>
    </row>
    <row r="952" spans="6:6">
      <c r="F952" s="87">
        <v>0</v>
      </c>
    </row>
    <row r="953" spans="6:6">
      <c r="F953" s="87">
        <v>0</v>
      </c>
    </row>
    <row r="954" spans="6:6">
      <c r="F954" s="87">
        <v>0</v>
      </c>
    </row>
    <row r="955" spans="6:6">
      <c r="F955" s="87">
        <v>0</v>
      </c>
    </row>
    <row r="956" spans="6:6">
      <c r="F956" s="87">
        <v>0</v>
      </c>
    </row>
    <row r="957" spans="6:6">
      <c r="F957" s="87">
        <v>0</v>
      </c>
    </row>
    <row r="958" spans="6:6">
      <c r="F958" s="87">
        <v>0</v>
      </c>
    </row>
    <row r="959" spans="6:6">
      <c r="F959" s="87">
        <v>0</v>
      </c>
    </row>
    <row r="960" spans="6:6">
      <c r="F960" s="87">
        <v>0</v>
      </c>
    </row>
    <row r="961" spans="6:6">
      <c r="F961" s="87">
        <v>0</v>
      </c>
    </row>
    <row r="962" spans="6:6">
      <c r="F962" s="87">
        <v>0</v>
      </c>
    </row>
    <row r="963" spans="6:6">
      <c r="F963" s="87">
        <v>0</v>
      </c>
    </row>
    <row r="964" spans="6:6">
      <c r="F964" s="87">
        <v>0</v>
      </c>
    </row>
    <row r="965" spans="6:6">
      <c r="F965" s="87">
        <v>0</v>
      </c>
    </row>
    <row r="966" spans="6:6">
      <c r="F966" s="87">
        <v>0</v>
      </c>
    </row>
    <row r="967" spans="6:6">
      <c r="F967" s="87">
        <v>0</v>
      </c>
    </row>
    <row r="968" spans="6:6">
      <c r="F968" s="87">
        <v>0</v>
      </c>
    </row>
    <row r="969" spans="6:6">
      <c r="F969" s="87">
        <v>0</v>
      </c>
    </row>
    <row r="970" spans="6:6">
      <c r="F970" s="87">
        <v>0</v>
      </c>
    </row>
    <row r="971" spans="6:6">
      <c r="F971" s="87">
        <v>0</v>
      </c>
    </row>
    <row r="972" spans="6:6">
      <c r="F972" s="87">
        <v>0</v>
      </c>
    </row>
    <row r="973" spans="6:6">
      <c r="F973" s="87">
        <v>0</v>
      </c>
    </row>
    <row r="974" spans="6:6">
      <c r="F974" s="87">
        <v>0</v>
      </c>
    </row>
    <row r="975" spans="6:6">
      <c r="F975" s="87">
        <v>0</v>
      </c>
    </row>
    <row r="976" spans="6:6">
      <c r="F976" s="87">
        <v>0</v>
      </c>
    </row>
    <row r="977" spans="6:6">
      <c r="F977" s="87">
        <v>0</v>
      </c>
    </row>
    <row r="978" spans="6:6">
      <c r="F978" s="87">
        <v>0</v>
      </c>
    </row>
    <row r="979" spans="6:6">
      <c r="F979" s="87">
        <v>0</v>
      </c>
    </row>
    <row r="980" spans="6:6">
      <c r="F980" s="87">
        <v>0</v>
      </c>
    </row>
    <row r="981" spans="6:6">
      <c r="F981" s="87">
        <v>0</v>
      </c>
    </row>
    <row r="982" spans="6:6">
      <c r="F982" s="87">
        <v>0</v>
      </c>
    </row>
    <row r="983" spans="6:6">
      <c r="F983" s="87">
        <v>0</v>
      </c>
    </row>
    <row r="984" spans="6:6">
      <c r="F984" s="87">
        <v>0</v>
      </c>
    </row>
    <row r="985" spans="6:6">
      <c r="F985" s="87">
        <v>0</v>
      </c>
    </row>
    <row r="986" spans="6:6">
      <c r="F986" s="87">
        <v>0</v>
      </c>
    </row>
    <row r="987" spans="6:6">
      <c r="F987" s="87">
        <v>0</v>
      </c>
    </row>
    <row r="988" spans="6:6">
      <c r="F988" s="87">
        <v>0</v>
      </c>
    </row>
    <row r="989" spans="6:6">
      <c r="F989" s="87">
        <v>0</v>
      </c>
    </row>
    <row r="990" spans="6:6">
      <c r="F990" s="87">
        <v>0</v>
      </c>
    </row>
    <row r="991" spans="6:6">
      <c r="F991" s="87">
        <v>0</v>
      </c>
    </row>
    <row r="992" spans="6:6">
      <c r="F992" s="87">
        <v>0</v>
      </c>
    </row>
    <row r="993" spans="6:6">
      <c r="F993" s="87">
        <v>0</v>
      </c>
    </row>
    <row r="994" spans="6:6">
      <c r="F994" s="87">
        <v>0</v>
      </c>
    </row>
    <row r="995" spans="6:6">
      <c r="F995" s="87">
        <v>0</v>
      </c>
    </row>
    <row r="996" spans="6:6">
      <c r="F996" s="87">
        <v>0</v>
      </c>
    </row>
    <row r="997" spans="6:6">
      <c r="F997" s="87">
        <v>0</v>
      </c>
    </row>
    <row r="998" spans="6:6">
      <c r="F998" s="87">
        <v>0</v>
      </c>
    </row>
    <row r="999" spans="6:6">
      <c r="F999" s="87">
        <v>0</v>
      </c>
    </row>
    <row r="1000" spans="6:6">
      <c r="F1000" s="87">
        <v>0</v>
      </c>
    </row>
    <row r="1001" spans="6:6">
      <c r="F1001" s="87">
        <v>0</v>
      </c>
    </row>
    <row r="1002" spans="6:6">
      <c r="F1002" s="87">
        <v>0</v>
      </c>
    </row>
    <row r="1003" spans="6:6">
      <c r="F1003" s="87">
        <v>0</v>
      </c>
    </row>
    <row r="1004" spans="6:6">
      <c r="F1004" s="87">
        <v>0</v>
      </c>
    </row>
    <row r="1005" spans="6:6">
      <c r="F1005" s="87">
        <v>0</v>
      </c>
    </row>
    <row r="1006" spans="6:6">
      <c r="F1006" s="87">
        <v>0</v>
      </c>
    </row>
    <row r="1007" spans="6:6">
      <c r="F1007" s="87">
        <v>0</v>
      </c>
    </row>
    <row r="1008" spans="6:6">
      <c r="F1008" s="87">
        <v>0</v>
      </c>
    </row>
    <row r="1009" spans="6:6">
      <c r="F1009" s="87">
        <v>0</v>
      </c>
    </row>
    <row r="1010" spans="6:6">
      <c r="F1010" s="87">
        <v>0</v>
      </c>
    </row>
    <row r="1011" spans="6:6">
      <c r="F1011" s="87">
        <v>0</v>
      </c>
    </row>
    <row r="1012" spans="6:6">
      <c r="F1012" s="87">
        <v>0</v>
      </c>
    </row>
    <row r="1013" spans="6:6">
      <c r="F1013" s="87">
        <v>0</v>
      </c>
    </row>
    <row r="1014" spans="6:6">
      <c r="F1014" s="87">
        <v>0</v>
      </c>
    </row>
    <row r="1015" spans="6:6">
      <c r="F1015" s="87">
        <v>0</v>
      </c>
    </row>
  </sheetData>
  <sheetProtection password="C683" sheet="1" objects="1" scenarios="1" selectLockedCells="1"/>
  <customSheetViews>
    <customSheetView guid="{D07B1302-4C97-5B45-B34E-C55441B939E3}" scale="150" showPageBreaks="1" showGridLines="0" zeroValues="0" printArea="1" showAutoFilter="1" topLeftCell="A260">
      <selection activeCell="A273" sqref="A273:IV308"/>
      <pageMargins left="0.5" right="0.25" top="0.5" bottom="0.5" header="0.25" footer="0.25"/>
      <printOptions horizontalCentered="1"/>
      <pageSetup paperSize="9" orientation="portrait"/>
      <headerFooter alignWithMargins="0">
        <oddHeader>&amp;C&amp;6&amp;K000000ADMIN BUILDING</oddHeader>
        <oddFooter>&amp;C&amp;6Page&amp;Pof&amp;N&amp;R&amp;6&amp;A</oddFooter>
      </headerFooter>
      <autoFilter ref="B1"/>
    </customSheetView>
  </customSheetViews>
  <mergeCells count="19">
    <mergeCell ref="E28:G28"/>
    <mergeCell ref="E26:G26"/>
    <mergeCell ref="E24:G24"/>
    <mergeCell ref="E22:G22"/>
    <mergeCell ref="E20:G20"/>
    <mergeCell ref="A16:D16"/>
    <mergeCell ref="A71:D71"/>
    <mergeCell ref="E52:G52"/>
    <mergeCell ref="E50:G50"/>
    <mergeCell ref="E48:G48"/>
    <mergeCell ref="E46:G46"/>
    <mergeCell ref="E44:G44"/>
    <mergeCell ref="E42:G42"/>
    <mergeCell ref="E40:G40"/>
    <mergeCell ref="E38:G38"/>
    <mergeCell ref="E36:G36"/>
    <mergeCell ref="E34:G34"/>
    <mergeCell ref="E32:G32"/>
    <mergeCell ref="E30:G30"/>
  </mergeCells>
  <phoneticPr fontId="0" type="noConversion"/>
  <printOptions horizontalCentered="1"/>
  <pageMargins left="0.75" right="0.75" top="0.75" bottom="0.75" header="0.25" footer="0.25"/>
  <pageSetup paperSize="9" orientation="portrait" r:id="rId1"/>
  <headerFooter alignWithMargins="0">
    <oddFooter>&amp;C&amp;"-,Regular"&amp;8Page &amp;P of &amp;N</oddFooter>
  </headerFooter>
  <rowBreaks count="5" manualBreakCount="5">
    <brk id="59" max="6" man="1"/>
    <brk id="250" max="6" man="1"/>
    <brk id="284" max="6" man="1"/>
    <brk id="329" max="6" man="1"/>
    <brk id="477" max="6" man="1"/>
  </rowBreaks>
  <ignoredErrors>
    <ignoredError sqref="C208:C209" unlockedFormula="1"/>
  </ignoredErrors>
</worksheet>
</file>

<file path=xl/worksheets/sheet3.xml><?xml version="1.0" encoding="utf-8"?>
<worksheet xmlns="http://schemas.openxmlformats.org/spreadsheetml/2006/main" xmlns:r="http://schemas.openxmlformats.org/officeDocument/2006/relationships">
  <sheetPr transitionEvaluation="1" codeName="Sheet5" enableFormatConditionsCalculation="0">
    <tabColor indexed="34"/>
  </sheetPr>
  <dimension ref="A1:H1317"/>
  <sheetViews>
    <sheetView showGridLines="0" showZeros="0" view="pageBreakPreview" zoomScaleSheetLayoutView="100" workbookViewId="0">
      <selection activeCell="E24" sqref="E24:G24"/>
    </sheetView>
  </sheetViews>
  <sheetFormatPr defaultRowHeight="12"/>
  <cols>
    <col min="1" max="1" width="5.7109375" style="47" customWidth="1"/>
    <col min="2" max="2" width="47.7109375" style="341" customWidth="1"/>
    <col min="3" max="3" width="6.5703125" style="292" customWidth="1"/>
    <col min="4" max="4" width="5" style="148" customWidth="1"/>
    <col min="5" max="5" width="8.140625" style="86" bestFit="1" customWidth="1"/>
    <col min="6" max="6" width="7.140625" style="86" customWidth="1"/>
    <col min="7" max="7" width="7.42578125" style="85" bestFit="1" customWidth="1"/>
    <col min="8" max="16384" width="9.140625" style="88"/>
  </cols>
  <sheetData>
    <row r="1" spans="1:8" s="81" customFormat="1" ht="18.75">
      <c r="A1" s="137" t="s">
        <v>116</v>
      </c>
      <c r="B1" s="144"/>
      <c r="C1" s="138"/>
      <c r="D1" s="139"/>
      <c r="E1" s="79"/>
      <c r="F1" s="80"/>
      <c r="G1" s="78"/>
      <c r="H1" s="134"/>
    </row>
    <row r="2" spans="1:8" s="81" customFormat="1">
      <c r="A2" s="144" t="s">
        <v>81</v>
      </c>
      <c r="B2" s="336"/>
      <c r="C2" s="138"/>
      <c r="D2" s="139"/>
      <c r="E2" s="77"/>
      <c r="G2" s="78"/>
      <c r="H2" s="134"/>
    </row>
    <row r="3" spans="1:8" s="81" customFormat="1">
      <c r="A3" s="144" t="s">
        <v>82</v>
      </c>
      <c r="B3" s="336"/>
      <c r="C3" s="138"/>
      <c r="D3" s="139"/>
      <c r="E3" s="77"/>
      <c r="G3" s="78"/>
      <c r="H3" s="134"/>
    </row>
    <row r="4" spans="1:8" s="81" customFormat="1">
      <c r="A4" s="337">
        <v>0</v>
      </c>
      <c r="B4" s="336"/>
      <c r="C4" s="138"/>
      <c r="D4" s="139"/>
      <c r="E4" s="77"/>
      <c r="G4" s="78"/>
      <c r="H4" s="134"/>
    </row>
    <row r="5" spans="1:8" s="81" customFormat="1">
      <c r="A5" s="337" t="str">
        <f>'BOQ Ground Floor'!A5</f>
        <v>DATE: 27th MAY 2015</v>
      </c>
      <c r="B5" s="336"/>
      <c r="C5" s="138"/>
      <c r="D5" s="139"/>
      <c r="E5" s="77"/>
      <c r="G5" s="78"/>
      <c r="H5" s="134"/>
    </row>
    <row r="6" spans="1:8" s="81" customFormat="1">
      <c r="A6" s="337">
        <v>0</v>
      </c>
      <c r="B6" s="336"/>
      <c r="C6" s="138"/>
      <c r="D6" s="139"/>
      <c r="E6" s="77"/>
      <c r="G6" s="78"/>
      <c r="H6" s="134"/>
    </row>
    <row r="7" spans="1:8" s="81" customFormat="1">
      <c r="A7" s="338" t="str">
        <f>'BOQ Ground Floor'!A7</f>
        <v>PROJECT: TWO STOREY FIRE STATION</v>
      </c>
      <c r="B7" s="336"/>
      <c r="C7" s="142"/>
      <c r="D7" s="139"/>
      <c r="E7" s="82"/>
      <c r="G7" s="78"/>
      <c r="H7" s="134"/>
    </row>
    <row r="8" spans="1:8" s="81" customFormat="1">
      <c r="A8" s="339" t="str">
        <f>'BOQ Ground Floor'!A8</f>
        <v>CLIENT: MINISTRY OF DEFENCE AND NATIONAL SECURITY</v>
      </c>
      <c r="B8" s="336"/>
      <c r="C8" s="143"/>
      <c r="D8" s="143"/>
      <c r="E8" s="83"/>
      <c r="G8" s="78"/>
      <c r="H8" s="134"/>
    </row>
    <row r="9" spans="1:8" s="81" customFormat="1">
      <c r="A9" s="337" t="str">
        <f>'BOQ Ground Floor'!A9</f>
        <v>LOCATION: S.HULHUMEEDHOO</v>
      </c>
      <c r="B9" s="336"/>
      <c r="C9" s="144"/>
      <c r="D9" s="139"/>
      <c r="E9" s="77"/>
      <c r="F9" s="81" t="s">
        <v>1</v>
      </c>
      <c r="G9" s="78" t="s">
        <v>1</v>
      </c>
      <c r="H9" s="134"/>
    </row>
    <row r="10" spans="1:8" s="81" customFormat="1">
      <c r="A10" s="340"/>
      <c r="B10" s="336"/>
      <c r="C10" s="144"/>
      <c r="D10" s="139"/>
      <c r="E10" s="77"/>
      <c r="G10" s="78"/>
      <c r="H10" s="134"/>
    </row>
    <row r="11" spans="1:8">
      <c r="C11" s="148"/>
      <c r="F11" s="87"/>
      <c r="G11" s="88"/>
    </row>
    <row r="12" spans="1:8">
      <c r="A12" s="49"/>
      <c r="C12" s="148"/>
      <c r="F12" s="87"/>
      <c r="G12" s="88"/>
    </row>
    <row r="13" spans="1:8">
      <c r="A13" s="49"/>
      <c r="C13" s="148"/>
      <c r="F13" s="87"/>
      <c r="G13" s="88"/>
    </row>
    <row r="14" spans="1:8">
      <c r="A14" s="49"/>
      <c r="C14" s="148"/>
      <c r="F14" s="87"/>
      <c r="G14" s="88"/>
    </row>
    <row r="15" spans="1:8">
      <c r="A15" s="49"/>
      <c r="C15" s="148"/>
      <c r="F15" s="87"/>
      <c r="G15" s="88"/>
    </row>
    <row r="16" spans="1:8" ht="18.75">
      <c r="A16" s="166" t="s">
        <v>145</v>
      </c>
      <c r="B16" s="166"/>
      <c r="C16" s="166"/>
      <c r="D16" s="166"/>
      <c r="E16" s="89"/>
      <c r="F16" s="89"/>
      <c r="G16" s="89"/>
    </row>
    <row r="17" spans="1:7">
      <c r="A17" s="342"/>
      <c r="B17" s="151"/>
      <c r="C17" s="151"/>
      <c r="D17" s="151"/>
      <c r="E17" s="90"/>
      <c r="F17" s="90"/>
      <c r="G17" s="90"/>
    </row>
    <row r="18" spans="1:7">
      <c r="A18" s="343" t="s">
        <v>390</v>
      </c>
      <c r="C18" s="153"/>
      <c r="D18" s="153"/>
      <c r="E18" s="92"/>
      <c r="F18" s="93"/>
      <c r="G18" s="94"/>
    </row>
    <row r="19" spans="1:7">
      <c r="A19" s="52"/>
      <c r="B19" s="154"/>
      <c r="C19" s="344"/>
      <c r="D19" s="153"/>
      <c r="E19" s="92"/>
      <c r="F19" s="92"/>
      <c r="G19" s="91"/>
    </row>
    <row r="20" spans="1:7" ht="12.75" customHeight="1">
      <c r="A20" s="63" t="s">
        <v>57</v>
      </c>
      <c r="B20" s="345" t="str">
        <f>B78</f>
        <v>CONCRETE WORKS</v>
      </c>
      <c r="D20" s="157" t="s">
        <v>143</v>
      </c>
      <c r="E20" s="298"/>
      <c r="F20" s="299"/>
      <c r="G20" s="300"/>
    </row>
    <row r="21" spans="1:7">
      <c r="A21" s="63"/>
      <c r="B21" s="345"/>
      <c r="D21" s="157"/>
      <c r="E21" s="93"/>
      <c r="F21" s="93"/>
      <c r="G21" s="93"/>
    </row>
    <row r="22" spans="1:7" ht="12.75" customHeight="1">
      <c r="A22" s="63" t="s">
        <v>111</v>
      </c>
      <c r="B22" s="345" t="str">
        <f>B204</f>
        <v>FLOOR SLAB</v>
      </c>
      <c r="D22" s="157" t="s">
        <v>143</v>
      </c>
      <c r="E22" s="298"/>
      <c r="F22" s="299"/>
      <c r="G22" s="300"/>
    </row>
    <row r="23" spans="1:7">
      <c r="A23" s="63"/>
      <c r="B23" s="345"/>
      <c r="D23" s="157"/>
      <c r="E23" s="93"/>
      <c r="F23" s="93"/>
      <c r="G23" s="93"/>
    </row>
    <row r="24" spans="1:7" ht="12.75" customHeight="1">
      <c r="A24" s="63" t="s">
        <v>70</v>
      </c>
      <c r="B24" s="345" t="str">
        <f>B218</f>
        <v>MASONRY WORKS</v>
      </c>
      <c r="D24" s="157" t="s">
        <v>143</v>
      </c>
      <c r="E24" s="298"/>
      <c r="F24" s="299"/>
      <c r="G24" s="300"/>
    </row>
    <row r="25" spans="1:7">
      <c r="A25" s="63"/>
      <c r="B25" s="345"/>
      <c r="D25" s="157"/>
      <c r="E25" s="93"/>
      <c r="F25" s="93"/>
      <c r="G25" s="93"/>
    </row>
    <row r="26" spans="1:7" ht="12.75" customHeight="1">
      <c r="A26" s="63" t="s">
        <v>76</v>
      </c>
      <c r="B26" s="345" t="str">
        <f>B229</f>
        <v xml:space="preserve"> WALL FINISHES</v>
      </c>
      <c r="D26" s="157" t="s">
        <v>143</v>
      </c>
      <c r="E26" s="298"/>
      <c r="F26" s="299"/>
      <c r="G26" s="300"/>
    </row>
    <row r="27" spans="1:7">
      <c r="A27" s="63"/>
      <c r="B27" s="345"/>
      <c r="D27" s="157"/>
      <c r="E27" s="93"/>
      <c r="F27" s="93"/>
      <c r="G27" s="93"/>
    </row>
    <row r="28" spans="1:7" ht="12.75" customHeight="1">
      <c r="A28" s="63" t="s">
        <v>112</v>
      </c>
      <c r="B28" s="345" t="str">
        <f>B249</f>
        <v>FLOOR FINISHES</v>
      </c>
      <c r="D28" s="157" t="s">
        <v>143</v>
      </c>
      <c r="E28" s="298"/>
      <c r="F28" s="299"/>
      <c r="G28" s="300"/>
    </row>
    <row r="29" spans="1:7">
      <c r="A29" s="63"/>
      <c r="B29" s="345"/>
      <c r="D29" s="157"/>
      <c r="E29" s="93"/>
      <c r="F29" s="93"/>
      <c r="G29" s="93"/>
    </row>
    <row r="30" spans="1:7" ht="12.75" customHeight="1">
      <c r="A30" s="63" t="s">
        <v>90</v>
      </c>
      <c r="B30" s="345" t="str">
        <f>B268</f>
        <v>CEILING  FINISHES</v>
      </c>
      <c r="D30" s="157" t="s">
        <v>143</v>
      </c>
      <c r="E30" s="298"/>
      <c r="F30" s="299"/>
      <c r="G30" s="300"/>
    </row>
    <row r="31" spans="1:7">
      <c r="A31" s="63"/>
      <c r="B31" s="345"/>
      <c r="D31" s="157"/>
      <c r="E31" s="93"/>
      <c r="F31" s="93"/>
      <c r="G31" s="93"/>
    </row>
    <row r="32" spans="1:7" ht="12.75" customHeight="1">
      <c r="A32" s="63" t="s">
        <v>91</v>
      </c>
      <c r="B32" s="345" t="str">
        <f>B281</f>
        <v>STAIRCASE</v>
      </c>
      <c r="D32" s="157" t="s">
        <v>143</v>
      </c>
      <c r="E32" s="298"/>
      <c r="F32" s="299"/>
      <c r="G32" s="300"/>
    </row>
    <row r="33" spans="1:7">
      <c r="A33" s="63"/>
      <c r="B33" s="345"/>
      <c r="D33" s="157"/>
      <c r="E33" s="93"/>
      <c r="F33" s="93"/>
      <c r="G33" s="93"/>
    </row>
    <row r="34" spans="1:7" ht="12.75" customHeight="1">
      <c r="A34" s="63" t="s">
        <v>92</v>
      </c>
      <c r="B34" s="345" t="str">
        <f>B301</f>
        <v>DOORS &amp; WINDOWS</v>
      </c>
      <c r="D34" s="157" t="s">
        <v>143</v>
      </c>
      <c r="E34" s="298"/>
      <c r="F34" s="299"/>
      <c r="G34" s="300"/>
    </row>
    <row r="35" spans="1:7">
      <c r="A35" s="63"/>
      <c r="B35" s="345"/>
      <c r="D35" s="157"/>
      <c r="E35" s="93"/>
      <c r="F35" s="93"/>
      <c r="G35" s="93"/>
    </row>
    <row r="36" spans="1:7" ht="12.75" customHeight="1">
      <c r="A36" s="63" t="s">
        <v>142</v>
      </c>
      <c r="B36" s="345" t="str">
        <f>B397</f>
        <v>ELECTRICAL FIXTURES AND FITTINGS</v>
      </c>
      <c r="D36" s="157" t="s">
        <v>143</v>
      </c>
      <c r="E36" s="298"/>
      <c r="F36" s="299"/>
      <c r="G36" s="300"/>
    </row>
    <row r="37" spans="1:7">
      <c r="A37" s="63"/>
      <c r="B37" s="345"/>
      <c r="D37" s="157"/>
      <c r="E37" s="93"/>
      <c r="F37" s="93"/>
      <c r="G37" s="93"/>
    </row>
    <row r="38" spans="1:7" ht="12.75" customHeight="1">
      <c r="A38" s="63" t="s">
        <v>326</v>
      </c>
      <c r="B38" s="345" t="str">
        <f>B422</f>
        <v>AIR CONDITIONING SYSTEM</v>
      </c>
      <c r="D38" s="157" t="s">
        <v>143</v>
      </c>
      <c r="E38" s="298"/>
      <c r="F38" s="299"/>
      <c r="G38" s="300"/>
    </row>
    <row r="39" spans="1:7">
      <c r="A39" s="63"/>
      <c r="B39" s="345"/>
      <c r="D39" s="157"/>
      <c r="E39" s="93"/>
      <c r="F39" s="93"/>
      <c r="G39" s="93"/>
    </row>
    <row r="40" spans="1:7" ht="12.75" customHeight="1">
      <c r="A40" s="63" t="s">
        <v>327</v>
      </c>
      <c r="B40" s="345" t="str">
        <f>B429</f>
        <v>TELECOMMUNICATION NETWORK</v>
      </c>
      <c r="D40" s="157" t="s">
        <v>143</v>
      </c>
      <c r="E40" s="298"/>
      <c r="F40" s="299"/>
      <c r="G40" s="300"/>
    </row>
    <row r="41" spans="1:7">
      <c r="A41" s="63"/>
      <c r="B41" s="345"/>
      <c r="D41" s="157"/>
      <c r="E41" s="93"/>
      <c r="F41" s="93"/>
      <c r="G41" s="93"/>
    </row>
    <row r="42" spans="1:7" ht="12.75" customHeight="1">
      <c r="A42" s="63" t="s">
        <v>328</v>
      </c>
      <c r="B42" s="346" t="str">
        <f>B439</f>
        <v>FIREFIGHTING EQUIPMENT</v>
      </c>
      <c r="D42" s="157" t="s">
        <v>143</v>
      </c>
      <c r="E42" s="298"/>
      <c r="F42" s="299"/>
      <c r="G42" s="300"/>
    </row>
    <row r="43" spans="1:7">
      <c r="A43" s="63"/>
      <c r="B43" s="345"/>
      <c r="D43" s="157"/>
      <c r="E43" s="93"/>
      <c r="F43" s="93"/>
      <c r="G43" s="93"/>
    </row>
    <row r="44" spans="1:7" ht="12.75" customHeight="1">
      <c r="A44" s="63" t="s">
        <v>329</v>
      </c>
      <c r="B44" s="345" t="str">
        <f>B445</f>
        <v>SANITARY &amp; WATER SUPPLY</v>
      </c>
      <c r="D44" s="157" t="s">
        <v>143</v>
      </c>
      <c r="E44" s="298"/>
      <c r="F44" s="299"/>
      <c r="G44" s="300"/>
    </row>
    <row r="45" spans="1:7">
      <c r="A45" s="63"/>
      <c r="B45" s="345"/>
      <c r="D45" s="157"/>
      <c r="E45" s="93"/>
      <c r="F45" s="93"/>
      <c r="G45" s="93"/>
    </row>
    <row r="46" spans="1:7" ht="12.75" customHeight="1">
      <c r="A46" s="63" t="s">
        <v>330</v>
      </c>
      <c r="B46" s="345" t="str">
        <f>B464</f>
        <v>ROOFING</v>
      </c>
      <c r="D46" s="157" t="s">
        <v>143</v>
      </c>
      <c r="E46" s="298"/>
      <c r="F46" s="299"/>
      <c r="G46" s="300"/>
    </row>
    <row r="47" spans="1:7">
      <c r="A47" s="63"/>
      <c r="B47" s="345"/>
      <c r="D47" s="157"/>
      <c r="E47" s="93"/>
      <c r="F47" s="93"/>
      <c r="G47" s="93"/>
    </row>
    <row r="48" spans="1:7" ht="12.75" customHeight="1">
      <c r="A48" s="63" t="s">
        <v>331</v>
      </c>
      <c r="B48" s="345" t="str">
        <f>B554</f>
        <v>FURNITURE &amp; KITCHENWARE</v>
      </c>
      <c r="D48" s="157" t="s">
        <v>143</v>
      </c>
      <c r="E48" s="298"/>
      <c r="F48" s="299"/>
      <c r="G48" s="300"/>
    </row>
    <row r="49" spans="1:8">
      <c r="A49" s="63"/>
      <c r="B49" s="345"/>
      <c r="D49" s="157"/>
      <c r="E49" s="93"/>
      <c r="F49" s="93"/>
      <c r="G49" s="93"/>
    </row>
    <row r="50" spans="1:8" ht="12.75" customHeight="1">
      <c r="A50" s="63" t="s">
        <v>319</v>
      </c>
      <c r="B50" s="345" t="str">
        <f>B567</f>
        <v>ADDITIONS &amp; OMISSIONS</v>
      </c>
      <c r="D50" s="157" t="s">
        <v>143</v>
      </c>
      <c r="E50" s="298"/>
      <c r="F50" s="299"/>
      <c r="G50" s="300"/>
    </row>
    <row r="51" spans="1:8">
      <c r="A51" s="52"/>
      <c r="B51" s="336"/>
      <c r="D51" s="160"/>
      <c r="E51" s="93"/>
      <c r="F51" s="93"/>
      <c r="G51" s="93"/>
    </row>
    <row r="52" spans="1:8">
      <c r="A52" s="53" t="s">
        <v>59</v>
      </c>
      <c r="B52" s="154"/>
      <c r="D52" s="160" t="s">
        <v>143</v>
      </c>
      <c r="E52" s="301"/>
      <c r="F52" s="302"/>
      <c r="G52" s="303"/>
    </row>
    <row r="53" spans="1:8">
      <c r="A53" s="53"/>
      <c r="B53" s="347"/>
      <c r="C53" s="348"/>
      <c r="D53" s="153"/>
      <c r="E53" s="92"/>
      <c r="F53" s="92"/>
      <c r="G53" s="91"/>
    </row>
    <row r="54" spans="1:8">
      <c r="A54" s="53"/>
      <c r="B54" s="347"/>
      <c r="C54" s="348"/>
      <c r="D54" s="153"/>
      <c r="E54" s="92"/>
      <c r="F54" s="92"/>
      <c r="G54" s="91"/>
    </row>
    <row r="55" spans="1:8">
      <c r="A55" s="52"/>
      <c r="B55" s="347"/>
      <c r="C55" s="349"/>
      <c r="D55" s="153"/>
      <c r="E55" s="92"/>
      <c r="F55" s="92"/>
      <c r="G55" s="91"/>
    </row>
    <row r="56" spans="1:8">
      <c r="A56" s="52"/>
      <c r="B56" s="347"/>
      <c r="C56" s="349"/>
      <c r="D56" s="153"/>
      <c r="E56" s="92"/>
      <c r="F56" s="92"/>
      <c r="G56" s="91"/>
    </row>
    <row r="57" spans="1:8">
      <c r="A57" s="52"/>
      <c r="B57" s="347"/>
      <c r="C57" s="344"/>
      <c r="D57" s="153"/>
      <c r="E57" s="92"/>
      <c r="F57" s="92"/>
      <c r="G57" s="91"/>
    </row>
    <row r="58" spans="1:8">
      <c r="A58" s="52"/>
      <c r="B58" s="347"/>
      <c r="C58" s="344"/>
      <c r="D58" s="153"/>
      <c r="E58" s="92"/>
      <c r="F58" s="92"/>
      <c r="G58" s="91"/>
    </row>
    <row r="59" spans="1:8">
      <c r="A59" s="52"/>
      <c r="B59" s="347"/>
      <c r="C59" s="344"/>
      <c r="D59" s="153"/>
      <c r="E59" s="92"/>
      <c r="F59" s="92"/>
      <c r="G59" s="91"/>
    </row>
    <row r="60" spans="1:8">
      <c r="A60" s="52"/>
      <c r="B60" s="347"/>
      <c r="C60" s="344"/>
      <c r="D60" s="153"/>
      <c r="E60" s="92"/>
      <c r="F60" s="92"/>
      <c r="G60" s="91"/>
    </row>
    <row r="61" spans="1:8" ht="18.75">
      <c r="A61" s="137" t="s">
        <v>116</v>
      </c>
      <c r="B61" s="144"/>
      <c r="C61" s="138"/>
      <c r="D61" s="139"/>
      <c r="E61" s="79"/>
      <c r="F61" s="80"/>
      <c r="G61" s="78"/>
    </row>
    <row r="62" spans="1:8">
      <c r="A62" s="144" t="s">
        <v>81</v>
      </c>
      <c r="B62" s="336"/>
      <c r="C62" s="138"/>
      <c r="D62" s="139"/>
      <c r="E62" s="77"/>
      <c r="F62" s="81"/>
      <c r="G62" s="78"/>
    </row>
    <row r="63" spans="1:8" s="81" customFormat="1">
      <c r="A63" s="144" t="s">
        <v>82</v>
      </c>
      <c r="B63" s="336"/>
      <c r="C63" s="138"/>
      <c r="D63" s="139"/>
      <c r="E63" s="77"/>
      <c r="G63" s="78"/>
      <c r="H63" s="134"/>
    </row>
    <row r="64" spans="1:8" s="81" customFormat="1">
      <c r="A64" s="144">
        <v>0</v>
      </c>
      <c r="B64" s="336"/>
      <c r="C64" s="138"/>
      <c r="D64" s="139"/>
      <c r="E64" s="77"/>
      <c r="G64" s="78"/>
      <c r="H64" s="134"/>
    </row>
    <row r="65" spans="1:8" s="81" customFormat="1">
      <c r="A65" s="144" t="str">
        <f>'BOQ Ground Floor'!A5</f>
        <v>DATE: 27th MAY 2015</v>
      </c>
      <c r="B65" s="336"/>
      <c r="C65" s="138"/>
      <c r="D65" s="139"/>
      <c r="E65" s="77"/>
      <c r="G65" s="78"/>
      <c r="H65" s="134"/>
    </row>
    <row r="66" spans="1:8" s="81" customFormat="1">
      <c r="A66" s="144">
        <v>0</v>
      </c>
      <c r="B66" s="336"/>
      <c r="C66" s="138"/>
      <c r="D66" s="139"/>
      <c r="E66" s="77"/>
      <c r="G66" s="78"/>
      <c r="H66" s="134"/>
    </row>
    <row r="67" spans="1:8" s="81" customFormat="1">
      <c r="A67" s="350" t="s">
        <v>165</v>
      </c>
      <c r="B67" s="336"/>
      <c r="C67" s="142"/>
      <c r="D67" s="139"/>
      <c r="E67" s="82"/>
      <c r="G67" s="78"/>
      <c r="H67" s="134"/>
    </row>
    <row r="68" spans="1:8" s="81" customFormat="1">
      <c r="A68" s="143" t="s">
        <v>144</v>
      </c>
      <c r="B68" s="336"/>
      <c r="C68" s="143"/>
      <c r="D68" s="143"/>
      <c r="E68" s="83"/>
      <c r="G68" s="78"/>
      <c r="H68" s="134"/>
    </row>
    <row r="69" spans="1:8" s="81" customFormat="1">
      <c r="A69" s="144" t="s">
        <v>597</v>
      </c>
      <c r="B69" s="336"/>
      <c r="C69" s="144"/>
      <c r="D69" s="139"/>
      <c r="E69" s="77"/>
      <c r="F69" s="81" t="s">
        <v>1</v>
      </c>
      <c r="G69" s="78" t="s">
        <v>1</v>
      </c>
      <c r="H69" s="134"/>
    </row>
    <row r="70" spans="1:8" s="81" customFormat="1">
      <c r="A70" s="351"/>
      <c r="B70" s="336"/>
      <c r="C70" s="144"/>
      <c r="D70" s="139"/>
      <c r="E70" s="77"/>
      <c r="G70" s="78"/>
      <c r="H70" s="134"/>
    </row>
    <row r="71" spans="1:8" s="81" customFormat="1">
      <c r="A71" s="352"/>
      <c r="B71" s="144"/>
      <c r="C71" s="139"/>
      <c r="D71" s="138"/>
      <c r="E71" s="79"/>
      <c r="F71" s="80"/>
      <c r="G71" s="94"/>
      <c r="H71" s="134"/>
    </row>
    <row r="72" spans="1:8" s="81" customFormat="1" ht="18.75">
      <c r="A72" s="166" t="s">
        <v>29</v>
      </c>
      <c r="B72" s="166"/>
      <c r="C72" s="166"/>
      <c r="D72" s="166"/>
      <c r="E72" s="89"/>
      <c r="F72" s="89"/>
      <c r="G72" s="89"/>
      <c r="H72" s="134"/>
    </row>
    <row r="73" spans="1:8" s="94" customFormat="1">
      <c r="A73" s="151"/>
      <c r="B73" s="151"/>
      <c r="C73" s="151"/>
      <c r="D73" s="151"/>
      <c r="E73" s="90"/>
      <c r="F73" s="90"/>
      <c r="G73" s="90"/>
    </row>
    <row r="74" spans="1:8" s="95" customFormat="1">
      <c r="A74" s="169" t="s">
        <v>33</v>
      </c>
      <c r="B74" s="169" t="s">
        <v>34</v>
      </c>
      <c r="C74" s="168" t="s">
        <v>35</v>
      </c>
      <c r="D74" s="169" t="s">
        <v>36</v>
      </c>
      <c r="E74" s="97" t="s">
        <v>37</v>
      </c>
      <c r="F74" s="97" t="s">
        <v>38</v>
      </c>
      <c r="G74" s="96" t="s">
        <v>39</v>
      </c>
    </row>
    <row r="75" spans="1:8" s="95" customFormat="1">
      <c r="A75" s="353"/>
      <c r="B75" s="174"/>
      <c r="C75" s="354"/>
      <c r="D75" s="174"/>
      <c r="E75" s="100"/>
      <c r="F75" s="100"/>
      <c r="G75" s="99"/>
    </row>
    <row r="76" spans="1:8" s="111" customFormat="1">
      <c r="A76" s="355"/>
      <c r="B76" s="356" t="s">
        <v>386</v>
      </c>
      <c r="C76" s="180"/>
      <c r="D76" s="182"/>
      <c r="E76" s="103"/>
      <c r="F76" s="103"/>
      <c r="G76" s="3"/>
    </row>
    <row r="77" spans="1:8" s="111" customFormat="1">
      <c r="A77" s="355"/>
      <c r="B77" s="357"/>
      <c r="C77" s="180"/>
      <c r="D77" s="182"/>
      <c r="E77" s="103"/>
      <c r="F77" s="103"/>
      <c r="G77" s="3"/>
    </row>
    <row r="78" spans="1:8" s="105" customFormat="1">
      <c r="A78" s="358" t="s">
        <v>57</v>
      </c>
      <c r="B78" s="359" t="s">
        <v>71</v>
      </c>
      <c r="C78" s="197"/>
      <c r="D78" s="198"/>
      <c r="E78" s="305"/>
      <c r="F78" s="103"/>
      <c r="G78" s="102"/>
    </row>
    <row r="79" spans="1:8" s="111" customFormat="1" ht="36">
      <c r="A79" s="355"/>
      <c r="B79" s="360" t="s">
        <v>404</v>
      </c>
      <c r="C79" s="180"/>
      <c r="D79" s="182"/>
      <c r="E79" s="103"/>
      <c r="F79" s="103"/>
      <c r="G79" s="3"/>
    </row>
    <row r="80" spans="1:8" s="111" customFormat="1">
      <c r="A80" s="222"/>
      <c r="B80" s="361" t="s">
        <v>206</v>
      </c>
      <c r="C80" s="180"/>
      <c r="D80" s="362"/>
      <c r="E80" s="103"/>
      <c r="F80" s="103"/>
      <c r="G80" s="3"/>
    </row>
    <row r="81" spans="1:8" s="111" customFormat="1">
      <c r="A81" s="355" t="s">
        <v>8</v>
      </c>
      <c r="B81" s="188" t="s">
        <v>462</v>
      </c>
      <c r="C81" s="180">
        <f>0.2*0.3*20.075</f>
        <v>1.2044999999999999</v>
      </c>
      <c r="D81" s="362" t="s">
        <v>534</v>
      </c>
      <c r="E81" s="103"/>
      <c r="F81" s="103"/>
      <c r="G81" s="3"/>
    </row>
    <row r="82" spans="1:8" s="111" customFormat="1">
      <c r="A82" s="355" t="s">
        <v>9</v>
      </c>
      <c r="B82" s="188" t="s">
        <v>463</v>
      </c>
      <c r="C82" s="180">
        <f>0.2*0.3*21.625</f>
        <v>1.2974999999999999</v>
      </c>
      <c r="D82" s="362" t="s">
        <v>534</v>
      </c>
      <c r="E82" s="103"/>
      <c r="F82" s="103"/>
      <c r="G82" s="3"/>
    </row>
    <row r="83" spans="1:8" s="111" customFormat="1">
      <c r="A83" s="355" t="s">
        <v>10</v>
      </c>
      <c r="B83" s="188" t="s">
        <v>464</v>
      </c>
      <c r="C83" s="180">
        <f>0.2*0.3*8</f>
        <v>0.48</v>
      </c>
      <c r="D83" s="362" t="s">
        <v>534</v>
      </c>
      <c r="E83" s="103"/>
      <c r="F83" s="103"/>
      <c r="G83" s="3"/>
    </row>
    <row r="84" spans="1:8" s="111" customFormat="1">
      <c r="A84" s="355" t="s">
        <v>11</v>
      </c>
      <c r="B84" s="188" t="s">
        <v>465</v>
      </c>
      <c r="C84" s="180">
        <f>0.2*0.35*23.4</f>
        <v>1.6379999999999997</v>
      </c>
      <c r="D84" s="362" t="s">
        <v>534</v>
      </c>
      <c r="E84" s="103"/>
      <c r="F84" s="103"/>
      <c r="G84" s="3"/>
    </row>
    <row r="85" spans="1:8" s="111" customFormat="1">
      <c r="A85" s="355" t="s">
        <v>12</v>
      </c>
      <c r="B85" s="188" t="s">
        <v>466</v>
      </c>
      <c r="C85" s="180">
        <f>0.2*0.35*14.1</f>
        <v>0.98699999999999988</v>
      </c>
      <c r="D85" s="362" t="s">
        <v>534</v>
      </c>
      <c r="E85" s="103"/>
      <c r="F85" s="103"/>
      <c r="G85" s="3"/>
    </row>
    <row r="86" spans="1:8" s="111" customFormat="1">
      <c r="A86" s="355" t="s">
        <v>13</v>
      </c>
      <c r="B86" s="188" t="s">
        <v>467</v>
      </c>
      <c r="C86" s="180">
        <f>0.2*0.4*16.8</f>
        <v>1.3440000000000003</v>
      </c>
      <c r="D86" s="362" t="s">
        <v>534</v>
      </c>
      <c r="E86" s="103"/>
      <c r="F86" s="103"/>
      <c r="G86" s="3"/>
    </row>
    <row r="87" spans="1:8" s="111" customFormat="1">
      <c r="A87" s="355" t="s">
        <v>14</v>
      </c>
      <c r="B87" s="188" t="s">
        <v>468</v>
      </c>
      <c r="C87" s="180">
        <f>0.2*0.4*5.6</f>
        <v>0.44800000000000006</v>
      </c>
      <c r="D87" s="362" t="s">
        <v>534</v>
      </c>
      <c r="E87" s="103"/>
      <c r="F87" s="103"/>
      <c r="G87" s="3"/>
    </row>
    <row r="88" spans="1:8" s="111" customFormat="1">
      <c r="A88" s="363" t="s">
        <v>15</v>
      </c>
      <c r="B88" s="364" t="s">
        <v>469</v>
      </c>
      <c r="C88" s="180">
        <f>0.25*0.2*1.8</f>
        <v>9.0000000000000011E-2</v>
      </c>
      <c r="D88" s="207" t="s">
        <v>534</v>
      </c>
      <c r="E88" s="103"/>
      <c r="F88" s="103"/>
      <c r="G88" s="2"/>
    </row>
    <row r="89" spans="1:8" s="111" customFormat="1">
      <c r="A89" s="363"/>
      <c r="B89" s="364"/>
      <c r="C89" s="180"/>
      <c r="D89" s="207"/>
      <c r="E89" s="103"/>
      <c r="F89" s="103"/>
      <c r="G89" s="2"/>
    </row>
    <row r="90" spans="1:8" s="111" customFormat="1">
      <c r="A90" s="363"/>
      <c r="B90" s="364" t="s">
        <v>276</v>
      </c>
      <c r="C90" s="180"/>
      <c r="D90" s="207"/>
      <c r="E90" s="103"/>
      <c r="F90" s="103"/>
      <c r="G90" s="2"/>
    </row>
    <row r="91" spans="1:8" s="105" customFormat="1">
      <c r="A91" s="363" t="s">
        <v>61</v>
      </c>
      <c r="B91" s="364" t="s">
        <v>279</v>
      </c>
      <c r="C91" s="180">
        <f>(0.25*0.2*3)*5</f>
        <v>0.75000000000000011</v>
      </c>
      <c r="D91" s="207" t="s">
        <v>534</v>
      </c>
      <c r="E91" s="103"/>
      <c r="F91" s="103"/>
      <c r="G91" s="2"/>
      <c r="H91" s="111"/>
    </row>
    <row r="92" spans="1:8" s="105" customFormat="1">
      <c r="A92" s="363" t="s">
        <v>16</v>
      </c>
      <c r="B92" s="364" t="s">
        <v>282</v>
      </c>
      <c r="C92" s="180">
        <f>(0.2*0.2*3)*17</f>
        <v>2.0400000000000005</v>
      </c>
      <c r="D92" s="207" t="s">
        <v>534</v>
      </c>
      <c r="E92" s="103"/>
      <c r="F92" s="103"/>
      <c r="G92" s="2"/>
      <c r="H92" s="111"/>
    </row>
    <row r="93" spans="1:8" s="111" customFormat="1">
      <c r="A93" s="363"/>
      <c r="B93" s="364"/>
      <c r="C93" s="180"/>
      <c r="D93" s="207"/>
      <c r="E93" s="103"/>
      <c r="F93" s="103"/>
      <c r="G93" s="2"/>
    </row>
    <row r="94" spans="1:8" s="111" customFormat="1">
      <c r="A94" s="222"/>
      <c r="B94" s="361" t="s">
        <v>115</v>
      </c>
      <c r="C94" s="180"/>
      <c r="D94" s="362"/>
      <c r="E94" s="103"/>
      <c r="F94" s="103"/>
      <c r="G94" s="3"/>
    </row>
    <row r="95" spans="1:8" s="111" customFormat="1">
      <c r="A95" s="355" t="s">
        <v>17</v>
      </c>
      <c r="B95" s="188" t="s">
        <v>463</v>
      </c>
      <c r="C95" s="180">
        <f>0.2*0.3*52</f>
        <v>3.12</v>
      </c>
      <c r="D95" s="362" t="s">
        <v>534</v>
      </c>
      <c r="E95" s="103"/>
      <c r="F95" s="103"/>
      <c r="G95" s="3"/>
    </row>
    <row r="96" spans="1:8" s="111" customFormat="1">
      <c r="A96" s="355" t="s">
        <v>18</v>
      </c>
      <c r="B96" s="188" t="s">
        <v>465</v>
      </c>
      <c r="C96" s="180">
        <f>0.2*0.35*65.5</f>
        <v>4.585</v>
      </c>
      <c r="D96" s="362" t="s">
        <v>534</v>
      </c>
      <c r="E96" s="103"/>
      <c r="F96" s="103"/>
      <c r="G96" s="3"/>
    </row>
    <row r="97" spans="1:7" s="111" customFormat="1">
      <c r="A97" s="355" t="s">
        <v>5</v>
      </c>
      <c r="B97" s="188" t="s">
        <v>470</v>
      </c>
      <c r="C97" s="180">
        <f>0.25*0.2*1.8</f>
        <v>9.0000000000000011E-2</v>
      </c>
      <c r="D97" s="362" t="s">
        <v>534</v>
      </c>
      <c r="E97" s="103"/>
      <c r="F97" s="103"/>
      <c r="G97" s="3"/>
    </row>
    <row r="98" spans="1:7" s="111" customFormat="1">
      <c r="A98" s="355" t="s">
        <v>19</v>
      </c>
      <c r="B98" s="188" t="s">
        <v>562</v>
      </c>
      <c r="C98" s="180">
        <f>0.25*0.6*8</f>
        <v>1.2</v>
      </c>
      <c r="D98" s="362" t="s">
        <v>534</v>
      </c>
      <c r="E98" s="103"/>
      <c r="F98" s="103"/>
      <c r="G98" s="3"/>
    </row>
    <row r="99" spans="1:7" s="111" customFormat="1">
      <c r="A99" s="355" t="s">
        <v>20</v>
      </c>
      <c r="B99" s="188" t="s">
        <v>561</v>
      </c>
      <c r="C99" s="180">
        <f>0.2*0.3*7</f>
        <v>0.42</v>
      </c>
      <c r="D99" s="362" t="s">
        <v>534</v>
      </c>
      <c r="E99" s="103"/>
      <c r="F99" s="103"/>
      <c r="G99" s="3"/>
    </row>
    <row r="100" spans="1:7" s="111" customFormat="1">
      <c r="A100" s="355"/>
      <c r="B100" s="188"/>
      <c r="C100" s="180"/>
      <c r="D100" s="362"/>
      <c r="E100" s="103"/>
      <c r="F100" s="103"/>
      <c r="G100" s="3"/>
    </row>
    <row r="101" spans="1:7" s="111" customFormat="1">
      <c r="A101" s="182" t="s">
        <v>21</v>
      </c>
      <c r="B101" s="188" t="s">
        <v>487</v>
      </c>
      <c r="C101" s="180">
        <v>0.27</v>
      </c>
      <c r="D101" s="182" t="s">
        <v>534</v>
      </c>
      <c r="E101" s="103"/>
      <c r="F101" s="103"/>
      <c r="G101" s="3"/>
    </row>
    <row r="102" spans="1:7" s="111" customFormat="1">
      <c r="A102" s="182"/>
      <c r="B102" s="188"/>
      <c r="C102" s="180"/>
      <c r="D102" s="182"/>
      <c r="E102" s="103"/>
      <c r="F102" s="103"/>
      <c r="G102" s="3"/>
    </row>
    <row r="103" spans="1:7" s="111" customFormat="1">
      <c r="A103" s="182" t="s">
        <v>22</v>
      </c>
      <c r="B103" s="188" t="s">
        <v>473</v>
      </c>
      <c r="C103" s="180">
        <f>4.27*0.1*1</f>
        <v>0.42699999999999999</v>
      </c>
      <c r="D103" s="182" t="s">
        <v>534</v>
      </c>
      <c r="E103" s="103"/>
      <c r="F103" s="103"/>
      <c r="G103" s="3"/>
    </row>
    <row r="104" spans="1:7" s="111" customFormat="1">
      <c r="A104" s="182"/>
      <c r="B104" s="188"/>
      <c r="C104" s="180"/>
      <c r="D104" s="182"/>
      <c r="E104" s="103"/>
      <c r="F104" s="103"/>
      <c r="G104" s="3"/>
    </row>
    <row r="105" spans="1:7" s="111" customFormat="1" ht="24">
      <c r="A105" s="355" t="s">
        <v>1</v>
      </c>
      <c r="B105" s="360" t="s">
        <v>153</v>
      </c>
      <c r="C105" s="180"/>
      <c r="D105" s="182"/>
      <c r="E105" s="103"/>
      <c r="F105" s="103"/>
      <c r="G105" s="3"/>
    </row>
    <row r="106" spans="1:7" s="111" customFormat="1">
      <c r="A106" s="355"/>
      <c r="B106" s="361" t="s">
        <v>286</v>
      </c>
      <c r="C106" s="180"/>
      <c r="D106" s="182"/>
      <c r="E106" s="103"/>
      <c r="F106" s="103"/>
      <c r="G106" s="3"/>
    </row>
    <row r="107" spans="1:7" s="111" customFormat="1">
      <c r="A107" s="355" t="s">
        <v>23</v>
      </c>
      <c r="B107" s="188" t="s">
        <v>462</v>
      </c>
      <c r="C107" s="180">
        <f>(0.3*20.075*2)+(0.2*20.075)</f>
        <v>16.059999999999999</v>
      </c>
      <c r="D107" s="362" t="s">
        <v>532</v>
      </c>
      <c r="E107" s="103"/>
      <c r="F107" s="103"/>
      <c r="G107" s="3"/>
    </row>
    <row r="108" spans="1:7" s="111" customFormat="1">
      <c r="A108" s="355" t="s">
        <v>24</v>
      </c>
      <c r="B108" s="188" t="s">
        <v>463</v>
      </c>
      <c r="C108" s="180">
        <f>(0.3*20.925*2)+(0.2*20.925)</f>
        <v>16.740000000000002</v>
      </c>
      <c r="D108" s="362" t="s">
        <v>532</v>
      </c>
      <c r="E108" s="103"/>
      <c r="F108" s="103"/>
      <c r="G108" s="3"/>
    </row>
    <row r="109" spans="1:7" s="111" customFormat="1">
      <c r="A109" s="355" t="s">
        <v>78</v>
      </c>
      <c r="B109" s="188" t="s">
        <v>464</v>
      </c>
      <c r="C109" s="180">
        <f>(0.3*8*2)+(0.2*8)</f>
        <v>6.4</v>
      </c>
      <c r="D109" s="362" t="s">
        <v>532</v>
      </c>
      <c r="E109" s="103"/>
      <c r="F109" s="103"/>
      <c r="G109" s="3"/>
    </row>
    <row r="110" spans="1:7" s="111" customFormat="1">
      <c r="A110" s="355" t="s">
        <v>63</v>
      </c>
      <c r="B110" s="188" t="s">
        <v>465</v>
      </c>
      <c r="C110" s="180">
        <f>(0.35*23.4*2)+(0.2*23.4)</f>
        <v>21.06</v>
      </c>
      <c r="D110" s="362" t="s">
        <v>532</v>
      </c>
      <c r="E110" s="103"/>
      <c r="F110" s="103"/>
      <c r="G110" s="3"/>
    </row>
    <row r="111" spans="1:7" s="111" customFormat="1">
      <c r="A111" s="355" t="s">
        <v>64</v>
      </c>
      <c r="B111" s="188" t="s">
        <v>466</v>
      </c>
      <c r="C111" s="180">
        <f>(0.35*14.1*2)+(0.2*14.1)</f>
        <v>12.69</v>
      </c>
      <c r="D111" s="362" t="s">
        <v>532</v>
      </c>
      <c r="E111" s="103"/>
      <c r="F111" s="103"/>
      <c r="G111" s="3"/>
    </row>
    <row r="112" spans="1:7" s="111" customFormat="1">
      <c r="A112" s="355" t="s">
        <v>95</v>
      </c>
      <c r="B112" s="188" t="s">
        <v>467</v>
      </c>
      <c r="C112" s="180">
        <f>(0.4*16.8*2)+(0.2*16.8)</f>
        <v>16.8</v>
      </c>
      <c r="D112" s="362" t="s">
        <v>532</v>
      </c>
      <c r="E112" s="103"/>
      <c r="F112" s="103"/>
      <c r="G112" s="3"/>
    </row>
    <row r="113" spans="1:7" s="111" customFormat="1">
      <c r="A113" s="355" t="s">
        <v>96</v>
      </c>
      <c r="B113" s="188" t="s">
        <v>468</v>
      </c>
      <c r="C113" s="180">
        <f>(0.4*5.6*2)+(0.2*5.6)</f>
        <v>5.6</v>
      </c>
      <c r="D113" s="362" t="s">
        <v>532</v>
      </c>
      <c r="E113" s="103"/>
      <c r="F113" s="103"/>
      <c r="G113" s="3"/>
    </row>
    <row r="114" spans="1:7" s="111" customFormat="1">
      <c r="A114" s="363" t="s">
        <v>169</v>
      </c>
      <c r="B114" s="364" t="s">
        <v>469</v>
      </c>
      <c r="C114" s="180">
        <f>(0.2*1.8*2)+(0.2*1.8)</f>
        <v>1.08</v>
      </c>
      <c r="D114" s="362" t="s">
        <v>532</v>
      </c>
      <c r="E114" s="103"/>
      <c r="F114" s="103"/>
      <c r="G114" s="2"/>
    </row>
    <row r="115" spans="1:7" s="111" customFormat="1">
      <c r="A115" s="363"/>
      <c r="B115" s="364"/>
      <c r="C115" s="180"/>
      <c r="D115" s="362"/>
      <c r="E115" s="103"/>
      <c r="F115" s="103"/>
      <c r="G115" s="2"/>
    </row>
    <row r="116" spans="1:7" s="111" customFormat="1">
      <c r="A116" s="355"/>
      <c r="B116" s="361" t="s">
        <v>114</v>
      </c>
      <c r="C116" s="180"/>
      <c r="D116" s="182"/>
      <c r="E116" s="103"/>
      <c r="F116" s="103"/>
      <c r="G116" s="3"/>
    </row>
    <row r="117" spans="1:7" s="111" customFormat="1">
      <c r="A117" s="355" t="s">
        <v>189</v>
      </c>
      <c r="B117" s="188" t="s">
        <v>284</v>
      </c>
      <c r="C117" s="180">
        <f>((0.2*3*2)+(0.25*3*2))*4</f>
        <v>10.8</v>
      </c>
      <c r="D117" s="180" t="s">
        <v>532</v>
      </c>
      <c r="E117" s="103"/>
      <c r="F117" s="103"/>
      <c r="G117" s="3"/>
    </row>
    <row r="118" spans="1:7" s="111" customFormat="1">
      <c r="A118" s="365" t="s">
        <v>190</v>
      </c>
      <c r="B118" s="366" t="s">
        <v>285</v>
      </c>
      <c r="C118" s="191">
        <f>((0.2*3)*4)*16</f>
        <v>38.400000000000006</v>
      </c>
      <c r="D118" s="191" t="s">
        <v>532</v>
      </c>
      <c r="E118" s="106"/>
      <c r="F118" s="106"/>
      <c r="G118" s="118"/>
    </row>
    <row r="119" spans="1:7" s="111" customFormat="1">
      <c r="A119" s="367"/>
      <c r="B119" s="368"/>
      <c r="C119" s="195"/>
      <c r="D119" s="195"/>
      <c r="E119" s="109"/>
      <c r="F119" s="109"/>
      <c r="G119" s="108"/>
    </row>
    <row r="120" spans="1:7" s="111" customFormat="1">
      <c r="A120" s="222"/>
      <c r="B120" s="361" t="s">
        <v>115</v>
      </c>
      <c r="C120" s="180"/>
      <c r="D120" s="362"/>
      <c r="E120" s="103"/>
      <c r="F120" s="103"/>
      <c r="G120" s="3"/>
    </row>
    <row r="121" spans="1:7" s="111" customFormat="1">
      <c r="A121" s="355" t="s">
        <v>191</v>
      </c>
      <c r="B121" s="188" t="s">
        <v>463</v>
      </c>
      <c r="C121" s="180">
        <f>(0.3*52*2)+(0.2*52)</f>
        <v>41.6</v>
      </c>
      <c r="D121" s="180" t="s">
        <v>532</v>
      </c>
      <c r="E121" s="103"/>
      <c r="F121" s="103"/>
      <c r="G121" s="3"/>
    </row>
    <row r="122" spans="1:7" s="111" customFormat="1">
      <c r="A122" s="355" t="s">
        <v>192</v>
      </c>
      <c r="B122" s="188" t="s">
        <v>465</v>
      </c>
      <c r="C122" s="180">
        <f>(0.35*65.5*2)+(0.2*65.5)</f>
        <v>58.949999999999996</v>
      </c>
      <c r="D122" s="180" t="s">
        <v>532</v>
      </c>
      <c r="E122" s="103"/>
      <c r="F122" s="103"/>
      <c r="G122" s="3"/>
    </row>
    <row r="123" spans="1:7" s="111" customFormat="1">
      <c r="A123" s="355" t="s">
        <v>324</v>
      </c>
      <c r="B123" s="188" t="s">
        <v>470</v>
      </c>
      <c r="C123" s="180">
        <f>(0.2*1.8*2)+(0.25*1.8)</f>
        <v>1.1700000000000002</v>
      </c>
      <c r="D123" s="180" t="s">
        <v>532</v>
      </c>
      <c r="E123" s="103"/>
      <c r="F123" s="103"/>
      <c r="G123" s="3"/>
    </row>
    <row r="124" spans="1:7" s="111" customFormat="1">
      <c r="A124" s="355" t="s">
        <v>193</v>
      </c>
      <c r="B124" s="188" t="s">
        <v>471</v>
      </c>
      <c r="C124" s="180">
        <f>(0.6*8*2)+(0.25*8)</f>
        <v>11.6</v>
      </c>
      <c r="D124" s="180" t="s">
        <v>532</v>
      </c>
      <c r="E124" s="103"/>
      <c r="F124" s="103"/>
      <c r="G124" s="3"/>
    </row>
    <row r="125" spans="1:7" s="111" customFormat="1">
      <c r="A125" s="355" t="s">
        <v>194</v>
      </c>
      <c r="B125" s="188" t="s">
        <v>472</v>
      </c>
      <c r="C125" s="180">
        <f>(0.3*7*2)+(0.25*7)</f>
        <v>5.95</v>
      </c>
      <c r="D125" s="180" t="s">
        <v>532</v>
      </c>
      <c r="E125" s="103"/>
      <c r="F125" s="103"/>
      <c r="G125" s="3"/>
    </row>
    <row r="126" spans="1:7" s="111" customFormat="1">
      <c r="A126" s="355"/>
      <c r="B126" s="188"/>
      <c r="C126" s="180"/>
      <c r="D126" s="180"/>
      <c r="E126" s="103"/>
      <c r="F126" s="103"/>
      <c r="G126" s="3"/>
    </row>
    <row r="127" spans="1:7" s="111" customFormat="1">
      <c r="A127" s="182" t="s">
        <v>195</v>
      </c>
      <c r="B127" s="188" t="s">
        <v>487</v>
      </c>
      <c r="C127" s="180">
        <v>3.1</v>
      </c>
      <c r="D127" s="180" t="s">
        <v>532</v>
      </c>
      <c r="E127" s="103"/>
      <c r="F127" s="103"/>
      <c r="G127" s="3"/>
    </row>
    <row r="128" spans="1:7" s="111" customFormat="1">
      <c r="A128" s="182"/>
      <c r="B128" s="188"/>
      <c r="C128" s="180"/>
      <c r="D128" s="182"/>
      <c r="E128" s="103"/>
      <c r="F128" s="103"/>
      <c r="G128" s="3"/>
    </row>
    <row r="129" spans="1:7" s="111" customFormat="1">
      <c r="A129" s="182" t="s">
        <v>196</v>
      </c>
      <c r="B129" s="188" t="s">
        <v>296</v>
      </c>
      <c r="C129" s="180">
        <f>4.26*1*2</f>
        <v>8.52</v>
      </c>
      <c r="D129" s="182" t="s">
        <v>532</v>
      </c>
      <c r="E129" s="103"/>
      <c r="F129" s="103"/>
      <c r="G129" s="3"/>
    </row>
    <row r="130" spans="1:7" s="111" customFormat="1">
      <c r="A130" s="355"/>
      <c r="B130" s="188"/>
      <c r="C130" s="180"/>
      <c r="D130" s="180"/>
      <c r="E130" s="103"/>
      <c r="F130" s="103"/>
      <c r="G130" s="3"/>
    </row>
    <row r="131" spans="1:7" s="111" customFormat="1" ht="24">
      <c r="A131" s="355" t="s">
        <v>1</v>
      </c>
      <c r="B131" s="369" t="s">
        <v>30</v>
      </c>
      <c r="C131" s="180"/>
      <c r="D131" s="182"/>
      <c r="E131" s="103"/>
      <c r="F131" s="103"/>
      <c r="G131" s="3"/>
    </row>
    <row r="132" spans="1:7" s="111" customFormat="1">
      <c r="A132" s="222"/>
      <c r="B132" s="361" t="s">
        <v>206</v>
      </c>
      <c r="C132" s="180"/>
      <c r="D132" s="362"/>
      <c r="E132" s="103"/>
      <c r="F132" s="103"/>
      <c r="G132" s="3"/>
    </row>
    <row r="133" spans="1:7" s="111" customFormat="1">
      <c r="A133" s="355" t="s">
        <v>8</v>
      </c>
      <c r="B133" s="188" t="s">
        <v>462</v>
      </c>
      <c r="C133" s="180"/>
      <c r="D133" s="362"/>
      <c r="E133" s="103"/>
      <c r="F133" s="103"/>
      <c r="G133" s="3"/>
    </row>
    <row r="134" spans="1:7" s="111" customFormat="1">
      <c r="A134" s="363"/>
      <c r="B134" s="364" t="s">
        <v>578</v>
      </c>
      <c r="C134" s="180">
        <f>(20.08*5)*1.58</f>
        <v>158.63200000000001</v>
      </c>
      <c r="D134" s="182" t="s">
        <v>3</v>
      </c>
      <c r="E134" s="103"/>
      <c r="F134" s="103"/>
      <c r="G134" s="2"/>
    </row>
    <row r="135" spans="1:7" s="111" customFormat="1">
      <c r="A135" s="363"/>
      <c r="B135" s="364" t="s">
        <v>338</v>
      </c>
      <c r="C135" s="180">
        <f>140*1*0.222</f>
        <v>31.080000000000002</v>
      </c>
      <c r="D135" s="182" t="s">
        <v>3</v>
      </c>
      <c r="E135" s="103"/>
      <c r="F135" s="103"/>
      <c r="G135" s="2"/>
    </row>
    <row r="136" spans="1:7" s="111" customFormat="1">
      <c r="A136" s="355"/>
      <c r="B136" s="188"/>
      <c r="C136" s="180"/>
      <c r="D136" s="182"/>
      <c r="E136" s="103"/>
      <c r="F136" s="103"/>
      <c r="G136" s="3"/>
    </row>
    <row r="137" spans="1:7" s="111" customFormat="1">
      <c r="A137" s="355" t="s">
        <v>9</v>
      </c>
      <c r="B137" s="188" t="s">
        <v>463</v>
      </c>
      <c r="C137" s="180"/>
      <c r="D137" s="362"/>
      <c r="E137" s="103"/>
      <c r="F137" s="103"/>
      <c r="G137" s="3"/>
    </row>
    <row r="138" spans="1:7" s="111" customFormat="1">
      <c r="A138" s="363"/>
      <c r="B138" s="364" t="s">
        <v>394</v>
      </c>
      <c r="C138" s="180">
        <f>((20.92*4)*1)*0.888</f>
        <v>74.307840000000013</v>
      </c>
      <c r="D138" s="182" t="s">
        <v>3</v>
      </c>
      <c r="E138" s="103"/>
      <c r="F138" s="103"/>
      <c r="G138" s="2"/>
    </row>
    <row r="139" spans="1:7" s="111" customFormat="1">
      <c r="A139" s="363"/>
      <c r="B139" s="364" t="s">
        <v>338</v>
      </c>
      <c r="C139" s="180">
        <f>150*1*0.222</f>
        <v>33.299999999999997</v>
      </c>
      <c r="D139" s="182" t="s">
        <v>3</v>
      </c>
      <c r="E139" s="103"/>
      <c r="F139" s="103"/>
      <c r="G139" s="2"/>
    </row>
    <row r="140" spans="1:7" s="111" customFormat="1">
      <c r="A140" s="355"/>
      <c r="B140" s="188"/>
      <c r="C140" s="180"/>
      <c r="D140" s="182"/>
      <c r="E140" s="103"/>
      <c r="F140" s="103"/>
      <c r="G140" s="3"/>
    </row>
    <row r="141" spans="1:7" s="111" customFormat="1">
      <c r="A141" s="355" t="s">
        <v>10</v>
      </c>
      <c r="B141" s="188" t="s">
        <v>464</v>
      </c>
      <c r="C141" s="180"/>
      <c r="D141" s="362"/>
      <c r="E141" s="103"/>
      <c r="F141" s="103"/>
      <c r="G141" s="3"/>
    </row>
    <row r="142" spans="1:7" s="111" customFormat="1">
      <c r="A142" s="363"/>
      <c r="B142" s="364" t="s">
        <v>580</v>
      </c>
      <c r="C142" s="180">
        <f>((8*7)*1)*1.58</f>
        <v>88.48</v>
      </c>
      <c r="D142" s="182" t="s">
        <v>3</v>
      </c>
      <c r="E142" s="103"/>
      <c r="F142" s="103"/>
      <c r="G142" s="2"/>
    </row>
    <row r="143" spans="1:7" s="111" customFormat="1">
      <c r="A143" s="363"/>
      <c r="B143" s="364" t="s">
        <v>397</v>
      </c>
      <c r="C143" s="180">
        <f>60*2*1*0.222</f>
        <v>26.64</v>
      </c>
      <c r="D143" s="182" t="s">
        <v>3</v>
      </c>
      <c r="E143" s="103"/>
      <c r="F143" s="103"/>
      <c r="G143" s="2"/>
    </row>
    <row r="144" spans="1:7" s="111" customFormat="1">
      <c r="A144" s="355"/>
      <c r="B144" s="188"/>
      <c r="C144" s="180"/>
      <c r="D144" s="182"/>
      <c r="E144" s="103"/>
      <c r="F144" s="103"/>
      <c r="G144" s="3"/>
    </row>
    <row r="145" spans="1:7" s="111" customFormat="1">
      <c r="A145" s="355" t="s">
        <v>11</v>
      </c>
      <c r="B145" s="188" t="s">
        <v>465</v>
      </c>
      <c r="C145" s="180"/>
      <c r="D145" s="362"/>
      <c r="E145" s="103"/>
      <c r="F145" s="103"/>
      <c r="G145" s="3"/>
    </row>
    <row r="146" spans="1:7" s="111" customFormat="1">
      <c r="A146" s="363"/>
      <c r="B146" s="364" t="s">
        <v>579</v>
      </c>
      <c r="C146" s="180">
        <f>((23.4*6)*1)*1.58</f>
        <v>221.83199999999997</v>
      </c>
      <c r="D146" s="182" t="s">
        <v>3</v>
      </c>
      <c r="E146" s="103"/>
      <c r="F146" s="103"/>
      <c r="G146" s="2"/>
    </row>
    <row r="147" spans="1:7" s="111" customFormat="1">
      <c r="A147" s="363"/>
      <c r="B147" s="364" t="s">
        <v>338</v>
      </c>
      <c r="C147" s="180">
        <f>165*1.1*0.222</f>
        <v>40.293000000000006</v>
      </c>
      <c r="D147" s="182" t="s">
        <v>3</v>
      </c>
      <c r="E147" s="103"/>
      <c r="F147" s="103"/>
      <c r="G147" s="2"/>
    </row>
    <row r="148" spans="1:7" s="111" customFormat="1">
      <c r="A148" s="355"/>
      <c r="B148" s="188"/>
      <c r="C148" s="180"/>
      <c r="D148" s="182"/>
      <c r="E148" s="103"/>
      <c r="F148" s="103"/>
      <c r="G148" s="3"/>
    </row>
    <row r="149" spans="1:7" s="111" customFormat="1">
      <c r="A149" s="355" t="s">
        <v>12</v>
      </c>
      <c r="B149" s="188" t="s">
        <v>466</v>
      </c>
      <c r="C149" s="180"/>
      <c r="D149" s="362"/>
      <c r="E149" s="103"/>
      <c r="F149" s="103"/>
      <c r="G149" s="3"/>
    </row>
    <row r="150" spans="1:7" s="111" customFormat="1">
      <c r="A150" s="363"/>
      <c r="B150" s="364" t="s">
        <v>579</v>
      </c>
      <c r="C150" s="180">
        <f>((14.1*6)*1)*1.58</f>
        <v>133.66800000000001</v>
      </c>
      <c r="D150" s="182" t="s">
        <v>3</v>
      </c>
      <c r="E150" s="103"/>
      <c r="F150" s="103"/>
      <c r="G150" s="2"/>
    </row>
    <row r="151" spans="1:7" s="111" customFormat="1">
      <c r="A151" s="363"/>
      <c r="B151" s="364" t="s">
        <v>338</v>
      </c>
      <c r="C151" s="180">
        <f>110*1.1*0.222</f>
        <v>26.862000000000002</v>
      </c>
      <c r="D151" s="182" t="s">
        <v>3</v>
      </c>
      <c r="E151" s="103"/>
      <c r="F151" s="103"/>
      <c r="G151" s="2"/>
    </row>
    <row r="152" spans="1:7" s="111" customFormat="1">
      <c r="A152" s="355"/>
      <c r="B152" s="188"/>
      <c r="C152" s="180"/>
      <c r="D152" s="182"/>
      <c r="E152" s="103"/>
      <c r="F152" s="103"/>
      <c r="G152" s="3"/>
    </row>
    <row r="153" spans="1:7" s="111" customFormat="1">
      <c r="A153" s="355" t="s">
        <v>13</v>
      </c>
      <c r="B153" s="188" t="s">
        <v>467</v>
      </c>
      <c r="C153" s="180"/>
      <c r="D153" s="362"/>
      <c r="E153" s="103"/>
      <c r="F153" s="103"/>
      <c r="G153" s="3"/>
    </row>
    <row r="154" spans="1:7" s="111" customFormat="1">
      <c r="A154" s="363"/>
      <c r="B154" s="364" t="s">
        <v>581</v>
      </c>
      <c r="C154" s="180">
        <f>((16.8*7)*1)*0.888</f>
        <v>104.42880000000001</v>
      </c>
      <c r="D154" s="182" t="s">
        <v>3</v>
      </c>
      <c r="E154" s="103"/>
      <c r="F154" s="103"/>
      <c r="G154" s="2"/>
    </row>
    <row r="155" spans="1:7" s="111" customFormat="1">
      <c r="A155" s="363"/>
      <c r="B155" s="364" t="s">
        <v>397</v>
      </c>
      <c r="C155" s="180">
        <f>120*2*1.2*0.222</f>
        <v>63.936</v>
      </c>
      <c r="D155" s="182" t="s">
        <v>3</v>
      </c>
      <c r="E155" s="103"/>
      <c r="F155" s="103"/>
      <c r="G155" s="2"/>
    </row>
    <row r="156" spans="1:7" s="111" customFormat="1">
      <c r="A156" s="355"/>
      <c r="B156" s="188"/>
      <c r="C156" s="180"/>
      <c r="D156" s="182"/>
      <c r="E156" s="103"/>
      <c r="F156" s="103"/>
      <c r="G156" s="3"/>
    </row>
    <row r="157" spans="1:7" s="111" customFormat="1">
      <c r="A157" s="355" t="s">
        <v>14</v>
      </c>
      <c r="B157" s="188" t="s">
        <v>468</v>
      </c>
      <c r="C157" s="180"/>
      <c r="D157" s="362"/>
      <c r="E157" s="103"/>
      <c r="F157" s="103"/>
      <c r="G157" s="3"/>
    </row>
    <row r="158" spans="1:7" s="111" customFormat="1">
      <c r="A158" s="363"/>
      <c r="B158" s="364" t="s">
        <v>580</v>
      </c>
      <c r="C158" s="180">
        <f>((5.6*7)*1)*1.58</f>
        <v>61.935999999999993</v>
      </c>
      <c r="D158" s="182" t="s">
        <v>3</v>
      </c>
      <c r="E158" s="103"/>
      <c r="F158" s="103"/>
      <c r="G158" s="2"/>
    </row>
    <row r="159" spans="1:7" s="111" customFormat="1">
      <c r="A159" s="363"/>
      <c r="B159" s="364" t="s">
        <v>338</v>
      </c>
      <c r="C159" s="180">
        <f>50*1*1.2*0.222</f>
        <v>13.32</v>
      </c>
      <c r="D159" s="182" t="s">
        <v>3</v>
      </c>
      <c r="E159" s="103"/>
      <c r="F159" s="103"/>
      <c r="G159" s="2"/>
    </row>
    <row r="160" spans="1:7" s="111" customFormat="1">
      <c r="A160" s="355"/>
      <c r="B160" s="188"/>
      <c r="C160" s="180"/>
      <c r="D160" s="182"/>
      <c r="E160" s="103"/>
      <c r="F160" s="103"/>
      <c r="G160" s="3"/>
    </row>
    <row r="161" spans="1:7" s="111" customFormat="1">
      <c r="A161" s="363" t="s">
        <v>15</v>
      </c>
      <c r="B161" s="364" t="s">
        <v>469</v>
      </c>
      <c r="C161" s="180"/>
      <c r="D161" s="207"/>
      <c r="E161" s="103"/>
      <c r="F161" s="103"/>
      <c r="G161" s="2"/>
    </row>
    <row r="162" spans="1:7" s="111" customFormat="1">
      <c r="A162" s="363"/>
      <c r="B162" s="364" t="s">
        <v>579</v>
      </c>
      <c r="C162" s="180">
        <f>((1.8*6)*1)*1.58</f>
        <v>17.064000000000004</v>
      </c>
      <c r="D162" s="182" t="s">
        <v>3</v>
      </c>
      <c r="E162" s="103"/>
      <c r="F162" s="103"/>
      <c r="G162" s="2"/>
    </row>
    <row r="163" spans="1:7" s="111" customFormat="1">
      <c r="A163" s="363"/>
      <c r="B163" s="364" t="s">
        <v>338</v>
      </c>
      <c r="C163" s="180">
        <f>12*1*0.9*0.222</f>
        <v>2.3976000000000002</v>
      </c>
      <c r="D163" s="182" t="s">
        <v>3</v>
      </c>
      <c r="E163" s="103"/>
      <c r="F163" s="103"/>
      <c r="G163" s="2"/>
    </row>
    <row r="164" spans="1:7" s="111" customFormat="1">
      <c r="A164" s="363"/>
      <c r="B164" s="364"/>
      <c r="C164" s="180"/>
      <c r="D164" s="207"/>
      <c r="E164" s="103"/>
      <c r="F164" s="103"/>
      <c r="G164" s="2"/>
    </row>
    <row r="165" spans="1:7" s="111" customFormat="1">
      <c r="A165" s="355"/>
      <c r="B165" s="361" t="s">
        <v>114</v>
      </c>
      <c r="C165" s="180"/>
      <c r="D165" s="182"/>
      <c r="E165" s="103"/>
      <c r="F165" s="103"/>
      <c r="G165" s="3"/>
    </row>
    <row r="166" spans="1:7" s="111" customFormat="1">
      <c r="A166" s="363" t="s">
        <v>197</v>
      </c>
      <c r="B166" s="364" t="s">
        <v>279</v>
      </c>
      <c r="C166" s="180"/>
      <c r="D166" s="182"/>
      <c r="E166" s="103"/>
      <c r="F166" s="103"/>
      <c r="G166" s="2"/>
    </row>
    <row r="167" spans="1:7" s="111" customFormat="1">
      <c r="A167" s="363"/>
      <c r="B167" s="364" t="s">
        <v>392</v>
      </c>
      <c r="C167" s="180">
        <f>((3.2*8)*4)*0.888</f>
        <v>90.931200000000004</v>
      </c>
      <c r="D167" s="182" t="s">
        <v>3</v>
      </c>
      <c r="E167" s="103"/>
      <c r="F167" s="103"/>
      <c r="G167" s="2"/>
    </row>
    <row r="168" spans="1:7" s="111" customFormat="1">
      <c r="A168" s="363"/>
      <c r="B168" s="364" t="s">
        <v>396</v>
      </c>
      <c r="C168" s="180">
        <f>40*0.8*4*0.222</f>
        <v>28.416</v>
      </c>
      <c r="D168" s="182" t="s">
        <v>3</v>
      </c>
      <c r="E168" s="103"/>
      <c r="F168" s="103"/>
      <c r="G168" s="2"/>
    </row>
    <row r="169" spans="1:7" s="111" customFormat="1">
      <c r="A169" s="355"/>
      <c r="B169" s="188"/>
      <c r="C169" s="180"/>
      <c r="D169" s="182"/>
      <c r="E169" s="103"/>
      <c r="F169" s="103"/>
      <c r="G169" s="3"/>
    </row>
    <row r="170" spans="1:7" s="111" customFormat="1">
      <c r="A170" s="363" t="s">
        <v>198</v>
      </c>
      <c r="B170" s="364" t="s">
        <v>288</v>
      </c>
      <c r="C170" s="180"/>
      <c r="D170" s="182"/>
      <c r="E170" s="103"/>
      <c r="F170" s="103"/>
      <c r="G170" s="2"/>
    </row>
    <row r="171" spans="1:7" s="111" customFormat="1">
      <c r="A171" s="363"/>
      <c r="B171" s="364" t="s">
        <v>393</v>
      </c>
      <c r="C171" s="180">
        <f>((3.2*4)*16)*0.888</f>
        <v>181.86240000000001</v>
      </c>
      <c r="D171" s="182" t="s">
        <v>3</v>
      </c>
      <c r="E171" s="103"/>
      <c r="F171" s="103"/>
      <c r="G171" s="2"/>
    </row>
    <row r="172" spans="1:7" s="111" customFormat="1">
      <c r="A172" s="355"/>
      <c r="B172" s="188"/>
      <c r="C172" s="180"/>
      <c r="D172" s="182"/>
      <c r="E172" s="103"/>
      <c r="F172" s="103"/>
      <c r="G172" s="3"/>
    </row>
    <row r="173" spans="1:7" s="111" customFormat="1">
      <c r="A173" s="355"/>
      <c r="B173" s="361" t="s">
        <v>115</v>
      </c>
      <c r="C173" s="180"/>
      <c r="D173" s="362"/>
      <c r="E173" s="103"/>
      <c r="F173" s="103"/>
      <c r="G173" s="3"/>
    </row>
    <row r="174" spans="1:7" s="111" customFormat="1">
      <c r="A174" s="363" t="s">
        <v>199</v>
      </c>
      <c r="B174" s="364" t="s">
        <v>474</v>
      </c>
      <c r="C174" s="180"/>
      <c r="D174" s="182"/>
      <c r="E174" s="103"/>
      <c r="F174" s="103"/>
      <c r="G174" s="2"/>
    </row>
    <row r="175" spans="1:7" s="111" customFormat="1">
      <c r="A175" s="363"/>
      <c r="B175" s="364" t="s">
        <v>394</v>
      </c>
      <c r="C175" s="180">
        <f>((52*4)*1)*0.888</f>
        <v>184.70400000000001</v>
      </c>
      <c r="D175" s="182" t="s">
        <v>3</v>
      </c>
      <c r="E175" s="103"/>
      <c r="F175" s="103"/>
      <c r="G175" s="2"/>
    </row>
    <row r="176" spans="1:7" s="111" customFormat="1">
      <c r="A176" s="363"/>
      <c r="B176" s="364" t="s">
        <v>338</v>
      </c>
      <c r="C176" s="180">
        <f>440*1*1*0.222</f>
        <v>97.68</v>
      </c>
      <c r="D176" s="182" t="s">
        <v>3</v>
      </c>
      <c r="E176" s="103"/>
      <c r="F176" s="103"/>
      <c r="G176" s="2"/>
    </row>
    <row r="177" spans="1:7" s="111" customFormat="1">
      <c r="A177" s="363"/>
      <c r="B177" s="364"/>
      <c r="C177" s="180"/>
      <c r="D177" s="182"/>
      <c r="E177" s="103"/>
      <c r="F177" s="103"/>
      <c r="G177" s="2"/>
    </row>
    <row r="178" spans="1:7" s="111" customFormat="1">
      <c r="A178" s="370"/>
      <c r="B178" s="371"/>
      <c r="C178" s="191"/>
      <c r="D178" s="230"/>
      <c r="E178" s="106"/>
      <c r="F178" s="106"/>
      <c r="G178" s="107"/>
    </row>
    <row r="179" spans="1:7" s="111" customFormat="1">
      <c r="A179" s="355"/>
      <c r="B179" s="188"/>
      <c r="C179" s="180"/>
      <c r="D179" s="182"/>
      <c r="E179" s="103"/>
      <c r="F179" s="103"/>
      <c r="G179" s="3"/>
    </row>
    <row r="180" spans="1:7" s="111" customFormat="1">
      <c r="A180" s="363" t="s">
        <v>200</v>
      </c>
      <c r="B180" s="364" t="s">
        <v>475</v>
      </c>
      <c r="C180" s="180"/>
      <c r="D180" s="182"/>
      <c r="E180" s="103"/>
      <c r="F180" s="103"/>
      <c r="G180" s="2"/>
    </row>
    <row r="181" spans="1:7" s="111" customFormat="1">
      <c r="A181" s="363"/>
      <c r="B181" s="364" t="s">
        <v>395</v>
      </c>
      <c r="C181" s="180">
        <f>((70*6)*1)*1.579</f>
        <v>663.18</v>
      </c>
      <c r="D181" s="182" t="s">
        <v>3</v>
      </c>
      <c r="E181" s="103"/>
      <c r="F181" s="103"/>
      <c r="G181" s="2"/>
    </row>
    <row r="182" spans="1:7" s="111" customFormat="1">
      <c r="A182" s="363"/>
      <c r="B182" s="364" t="s">
        <v>338</v>
      </c>
      <c r="C182" s="180">
        <f>((440*1.1)*1)*0.222</f>
        <v>107.44800000000001</v>
      </c>
      <c r="D182" s="182" t="s">
        <v>3</v>
      </c>
      <c r="E182" s="103"/>
      <c r="F182" s="103"/>
      <c r="G182" s="2"/>
    </row>
    <row r="183" spans="1:7" s="111" customFormat="1">
      <c r="A183" s="363"/>
      <c r="B183" s="364"/>
      <c r="C183" s="180"/>
      <c r="D183" s="182"/>
      <c r="E183" s="103"/>
      <c r="F183" s="103"/>
      <c r="G183" s="2"/>
    </row>
    <row r="184" spans="1:7" s="111" customFormat="1">
      <c r="A184" s="363" t="s">
        <v>201</v>
      </c>
      <c r="B184" s="364" t="s">
        <v>470</v>
      </c>
      <c r="C184" s="180"/>
      <c r="D184" s="182"/>
      <c r="E184" s="103"/>
      <c r="F184" s="103"/>
      <c r="G184" s="2"/>
    </row>
    <row r="185" spans="1:7" s="111" customFormat="1">
      <c r="A185" s="363"/>
      <c r="B185" s="364" t="s">
        <v>395</v>
      </c>
      <c r="C185" s="180">
        <f>((2.2*6)*1)*1.579</f>
        <v>20.8428</v>
      </c>
      <c r="D185" s="182" t="s">
        <v>3</v>
      </c>
      <c r="E185" s="103"/>
      <c r="F185" s="103"/>
      <c r="G185" s="2"/>
    </row>
    <row r="186" spans="1:7" s="111" customFormat="1">
      <c r="A186" s="363"/>
      <c r="B186" s="364" t="s">
        <v>396</v>
      </c>
      <c r="C186" s="180">
        <f>((28*0.9)*2)*0.222</f>
        <v>11.188800000000001</v>
      </c>
      <c r="D186" s="182" t="s">
        <v>3</v>
      </c>
      <c r="E186" s="103"/>
      <c r="F186" s="103"/>
      <c r="G186" s="2"/>
    </row>
    <row r="187" spans="1:7" s="111" customFormat="1">
      <c r="A187" s="355"/>
      <c r="B187" s="188"/>
      <c r="C187" s="180"/>
      <c r="D187" s="182"/>
      <c r="E187" s="103"/>
      <c r="F187" s="103"/>
      <c r="G187" s="3"/>
    </row>
    <row r="188" spans="1:7" s="111" customFormat="1">
      <c r="A188" s="363" t="s">
        <v>202</v>
      </c>
      <c r="B188" s="364" t="s">
        <v>476</v>
      </c>
      <c r="C188" s="180"/>
      <c r="D188" s="182"/>
      <c r="E188" s="103"/>
      <c r="F188" s="103"/>
      <c r="G188" s="2"/>
    </row>
    <row r="189" spans="1:7" s="111" customFormat="1">
      <c r="A189" s="363"/>
      <c r="B189" s="364" t="s">
        <v>289</v>
      </c>
      <c r="C189" s="180">
        <f>((9*7)*1)*2.466</f>
        <v>155.358</v>
      </c>
      <c r="D189" s="182" t="s">
        <v>3</v>
      </c>
      <c r="E189" s="103"/>
      <c r="F189" s="103"/>
      <c r="G189" s="2"/>
    </row>
    <row r="190" spans="1:7" s="111" customFormat="1">
      <c r="A190" s="363"/>
      <c r="B190" s="364" t="s">
        <v>290</v>
      </c>
      <c r="C190" s="180">
        <f>((9*2)*1)*1.579</f>
        <v>28.422000000000001</v>
      </c>
      <c r="D190" s="182" t="s">
        <v>3</v>
      </c>
      <c r="E190" s="103"/>
      <c r="F190" s="103"/>
      <c r="G190" s="2"/>
    </row>
    <row r="191" spans="1:7" s="111" customFormat="1">
      <c r="A191" s="363"/>
      <c r="B191" s="364" t="s">
        <v>397</v>
      </c>
      <c r="C191" s="180">
        <f>110*1.6*2*0.222</f>
        <v>78.144000000000005</v>
      </c>
      <c r="D191" s="182" t="s">
        <v>3</v>
      </c>
      <c r="E191" s="103"/>
      <c r="F191" s="103"/>
      <c r="G191" s="2"/>
    </row>
    <row r="192" spans="1:7" s="111" customFormat="1">
      <c r="A192" s="355"/>
      <c r="B192" s="188"/>
      <c r="C192" s="180"/>
      <c r="D192" s="182"/>
      <c r="E192" s="103"/>
      <c r="F192" s="103"/>
      <c r="G192" s="3"/>
    </row>
    <row r="193" spans="1:8" s="111" customFormat="1">
      <c r="A193" s="363" t="s">
        <v>203</v>
      </c>
      <c r="B193" s="364" t="s">
        <v>463</v>
      </c>
      <c r="C193" s="180"/>
      <c r="D193" s="182"/>
      <c r="E193" s="103"/>
      <c r="F193" s="103"/>
      <c r="G193" s="2"/>
    </row>
    <row r="194" spans="1:8" s="111" customFormat="1">
      <c r="A194" s="363"/>
      <c r="B194" s="364" t="s">
        <v>166</v>
      </c>
      <c r="C194" s="180">
        <f>((8*4)*1)*0.888</f>
        <v>28.416</v>
      </c>
      <c r="D194" s="182" t="s">
        <v>3</v>
      </c>
      <c r="E194" s="103"/>
      <c r="F194" s="103"/>
      <c r="G194" s="2"/>
    </row>
    <row r="195" spans="1:8" s="111" customFormat="1">
      <c r="A195" s="363"/>
      <c r="B195" s="364" t="s">
        <v>338</v>
      </c>
      <c r="C195" s="180">
        <f>((100*0.9)*1)*0.222</f>
        <v>19.98</v>
      </c>
      <c r="D195" s="182" t="s">
        <v>3</v>
      </c>
      <c r="E195" s="103"/>
      <c r="F195" s="103"/>
      <c r="G195" s="2"/>
    </row>
    <row r="196" spans="1:8" s="111" customFormat="1">
      <c r="A196" s="363"/>
      <c r="B196" s="364"/>
      <c r="C196" s="180"/>
      <c r="D196" s="182"/>
      <c r="E196" s="103"/>
      <c r="F196" s="103"/>
      <c r="G196" s="2"/>
    </row>
    <row r="197" spans="1:8" s="111" customFormat="1">
      <c r="A197" s="182" t="s">
        <v>204</v>
      </c>
      <c r="B197" s="188" t="s">
        <v>487</v>
      </c>
      <c r="C197" s="180"/>
      <c r="D197" s="180"/>
      <c r="E197" s="103"/>
      <c r="F197" s="103"/>
      <c r="G197" s="3"/>
    </row>
    <row r="198" spans="1:8" s="111" customFormat="1">
      <c r="A198" s="182"/>
      <c r="B198" s="188" t="s">
        <v>294</v>
      </c>
      <c r="C198" s="180">
        <v>36.229999999999997</v>
      </c>
      <c r="D198" s="182" t="s">
        <v>295</v>
      </c>
      <c r="E198" s="103"/>
      <c r="F198" s="103"/>
      <c r="G198" s="3"/>
    </row>
    <row r="199" spans="1:8" s="111" customFormat="1">
      <c r="A199" s="182"/>
      <c r="B199" s="188"/>
      <c r="C199" s="180"/>
      <c r="D199" s="182"/>
      <c r="E199" s="103"/>
      <c r="F199" s="103"/>
      <c r="G199" s="3"/>
      <c r="H199" s="105"/>
    </row>
    <row r="200" spans="1:8" s="111" customFormat="1">
      <c r="A200" s="182" t="s">
        <v>325</v>
      </c>
      <c r="B200" s="188" t="s">
        <v>296</v>
      </c>
      <c r="C200" s="180"/>
      <c r="D200" s="182"/>
      <c r="E200" s="103"/>
      <c r="F200" s="103"/>
      <c r="G200" s="3"/>
      <c r="H200" s="105"/>
    </row>
    <row r="201" spans="1:8" s="111" customFormat="1">
      <c r="A201" s="182"/>
      <c r="B201" s="188" t="s">
        <v>294</v>
      </c>
      <c r="C201" s="180">
        <f>30*0.1*0.671</f>
        <v>2.0129999999999999</v>
      </c>
      <c r="D201" s="182" t="s">
        <v>295</v>
      </c>
      <c r="E201" s="103"/>
      <c r="F201" s="103"/>
      <c r="G201" s="3"/>
    </row>
    <row r="202" spans="1:8" s="111" customFormat="1">
      <c r="A202" s="182"/>
      <c r="B202" s="188"/>
      <c r="C202" s="180"/>
      <c r="D202" s="182"/>
      <c r="E202" s="103"/>
      <c r="F202" s="103"/>
      <c r="G202" s="3"/>
    </row>
    <row r="203" spans="1:8" s="111" customFormat="1">
      <c r="A203" s="182"/>
      <c r="B203" s="188"/>
      <c r="C203" s="180"/>
      <c r="D203" s="182"/>
      <c r="E203" s="103"/>
      <c r="F203" s="103"/>
      <c r="G203" s="3"/>
    </row>
    <row r="204" spans="1:8" s="111" customFormat="1">
      <c r="A204" s="225" t="s">
        <v>111</v>
      </c>
      <c r="B204" s="372" t="s">
        <v>303</v>
      </c>
      <c r="C204" s="373"/>
      <c r="D204" s="374"/>
      <c r="E204" s="103"/>
      <c r="F204" s="103"/>
      <c r="G204" s="2"/>
      <c r="H204" s="105"/>
    </row>
    <row r="205" spans="1:8" s="111" customFormat="1" ht="72">
      <c r="A205" s="199"/>
      <c r="B205" s="360" t="s">
        <v>405</v>
      </c>
      <c r="C205" s="373"/>
      <c r="D205" s="374"/>
      <c r="E205" s="103"/>
      <c r="F205" s="103"/>
      <c r="G205" s="2"/>
    </row>
    <row r="206" spans="1:8" s="105" customFormat="1">
      <c r="A206" s="199" t="s">
        <v>8</v>
      </c>
      <c r="B206" s="188" t="s">
        <v>304</v>
      </c>
      <c r="C206" s="373">
        <f>185.5*0.15</f>
        <v>27.824999999999999</v>
      </c>
      <c r="D206" s="373" t="s">
        <v>534</v>
      </c>
      <c r="E206" s="103"/>
      <c r="F206" s="103"/>
      <c r="G206" s="2"/>
      <c r="H206" s="111"/>
    </row>
    <row r="207" spans="1:8" s="105" customFormat="1">
      <c r="A207" s="199"/>
      <c r="B207" s="188"/>
      <c r="C207" s="373"/>
      <c r="D207" s="373"/>
      <c r="E207" s="103"/>
      <c r="F207" s="103"/>
      <c r="G207" s="2"/>
      <c r="H207" s="111"/>
    </row>
    <row r="208" spans="1:8" s="111" customFormat="1" ht="24">
      <c r="A208" s="199"/>
      <c r="B208" s="375" t="s">
        <v>31</v>
      </c>
      <c r="C208" s="373"/>
      <c r="D208" s="374"/>
      <c r="E208" s="103"/>
      <c r="F208" s="103"/>
      <c r="G208" s="2"/>
    </row>
    <row r="209" spans="1:8" s="111" customFormat="1">
      <c r="A209" s="199" t="s">
        <v>9</v>
      </c>
      <c r="B209" s="376" t="s">
        <v>302</v>
      </c>
      <c r="C209" s="373">
        <v>185.5</v>
      </c>
      <c r="D209" s="374" t="s">
        <v>532</v>
      </c>
      <c r="E209" s="103"/>
      <c r="F209" s="103"/>
      <c r="G209" s="2"/>
    </row>
    <row r="210" spans="1:8" s="111" customFormat="1">
      <c r="A210" s="199"/>
      <c r="B210" s="376"/>
      <c r="C210" s="373"/>
      <c r="D210" s="374"/>
      <c r="E210" s="103"/>
      <c r="F210" s="103"/>
      <c r="G210" s="2"/>
    </row>
    <row r="211" spans="1:8" s="111" customFormat="1" ht="24">
      <c r="A211" s="199"/>
      <c r="B211" s="375" t="s">
        <v>30</v>
      </c>
      <c r="C211" s="373"/>
      <c r="D211" s="374"/>
      <c r="E211" s="103"/>
      <c r="F211" s="103"/>
      <c r="G211" s="2"/>
    </row>
    <row r="212" spans="1:8" s="111" customFormat="1">
      <c r="A212" s="199"/>
      <c r="B212" s="376" t="s">
        <v>302</v>
      </c>
      <c r="C212" s="373"/>
      <c r="D212" s="374" t="s">
        <v>1</v>
      </c>
      <c r="E212" s="103"/>
      <c r="F212" s="103"/>
      <c r="G212" s="2"/>
    </row>
    <row r="213" spans="1:8" s="111" customFormat="1">
      <c r="A213" s="199" t="s">
        <v>10</v>
      </c>
      <c r="B213" s="376" t="s">
        <v>477</v>
      </c>
      <c r="C213" s="180">
        <f>147.05*10*0.617</f>
        <v>907.29849999999999</v>
      </c>
      <c r="D213" s="374" t="s">
        <v>295</v>
      </c>
      <c r="E213" s="103"/>
      <c r="F213" s="103"/>
      <c r="G213" s="2"/>
    </row>
    <row r="214" spans="1:8" s="120" customFormat="1">
      <c r="A214" s="199" t="s">
        <v>11</v>
      </c>
      <c r="B214" s="376" t="s">
        <v>478</v>
      </c>
      <c r="C214" s="180">
        <f>185.5*10*0.617</f>
        <v>1144.5350000000001</v>
      </c>
      <c r="D214" s="374" t="s">
        <v>295</v>
      </c>
      <c r="E214" s="103"/>
      <c r="F214" s="103"/>
      <c r="G214" s="325"/>
      <c r="H214" s="111"/>
    </row>
    <row r="215" spans="1:8" s="120" customFormat="1">
      <c r="A215" s="199" t="s">
        <v>12</v>
      </c>
      <c r="B215" s="376" t="s">
        <v>27</v>
      </c>
      <c r="C215" s="180">
        <f>1144.54*0.15</f>
        <v>171.68099999999998</v>
      </c>
      <c r="D215" s="374" t="s">
        <v>3</v>
      </c>
      <c r="E215" s="103"/>
      <c r="F215" s="103"/>
      <c r="G215" s="325"/>
      <c r="H215" s="111"/>
    </row>
    <row r="216" spans="1:8" s="120" customFormat="1">
      <c r="A216" s="199"/>
      <c r="B216" s="376"/>
      <c r="C216" s="180"/>
      <c r="D216" s="374"/>
      <c r="E216" s="103"/>
      <c r="F216" s="103"/>
      <c r="G216" s="325"/>
      <c r="H216" s="111"/>
    </row>
    <row r="217" spans="1:8" s="111" customFormat="1">
      <c r="A217" s="199"/>
      <c r="B217" s="377"/>
      <c r="C217" s="180"/>
      <c r="D217" s="182"/>
      <c r="E217" s="103"/>
      <c r="F217" s="103"/>
      <c r="G217" s="2"/>
    </row>
    <row r="218" spans="1:8" s="111" customFormat="1">
      <c r="A218" s="358" t="s">
        <v>70</v>
      </c>
      <c r="B218" s="377" t="s">
        <v>58</v>
      </c>
      <c r="C218" s="197"/>
      <c r="D218" s="198"/>
      <c r="E218" s="305"/>
      <c r="F218" s="103"/>
      <c r="G218" s="102"/>
    </row>
    <row r="219" spans="1:8" s="111" customFormat="1" ht="36">
      <c r="A219" s="182"/>
      <c r="B219" s="369" t="s">
        <v>502</v>
      </c>
      <c r="C219" s="180"/>
      <c r="D219" s="182"/>
      <c r="E219" s="103"/>
      <c r="F219" s="103">
        <v>0</v>
      </c>
      <c r="G219" s="2"/>
    </row>
    <row r="220" spans="1:8" s="111" customFormat="1">
      <c r="A220" s="182" t="s">
        <v>8</v>
      </c>
      <c r="B220" s="188" t="s">
        <v>291</v>
      </c>
      <c r="C220" s="216">
        <v>195.4</v>
      </c>
      <c r="D220" s="180" t="s">
        <v>532</v>
      </c>
      <c r="E220" s="103"/>
      <c r="F220" s="103"/>
      <c r="G220" s="2"/>
    </row>
    <row r="221" spans="1:8" s="111" customFormat="1">
      <c r="A221" s="182" t="s">
        <v>9</v>
      </c>
      <c r="B221" s="188" t="s">
        <v>292</v>
      </c>
      <c r="C221" s="216">
        <v>119.07</v>
      </c>
      <c r="D221" s="180" t="s">
        <v>532</v>
      </c>
      <c r="E221" s="103"/>
      <c r="F221" s="103"/>
      <c r="G221" s="2"/>
    </row>
    <row r="222" spans="1:8" s="111" customFormat="1">
      <c r="A222" s="182" t="s">
        <v>10</v>
      </c>
      <c r="B222" s="188" t="s">
        <v>332</v>
      </c>
      <c r="C222" s="216">
        <v>28.98</v>
      </c>
      <c r="D222" s="180" t="s">
        <v>532</v>
      </c>
      <c r="E222" s="103"/>
      <c r="F222" s="103"/>
      <c r="G222" s="2"/>
    </row>
    <row r="223" spans="1:8" s="111" customFormat="1">
      <c r="A223" s="182"/>
      <c r="B223" s="188"/>
      <c r="C223" s="216"/>
      <c r="D223" s="180"/>
      <c r="E223" s="103"/>
      <c r="F223" s="103"/>
      <c r="G223" s="2"/>
    </row>
    <row r="224" spans="1:8" s="111" customFormat="1" ht="36">
      <c r="A224" s="378"/>
      <c r="B224" s="379" t="s">
        <v>479</v>
      </c>
      <c r="C224" s="222"/>
      <c r="D224" s="224"/>
      <c r="E224" s="103"/>
      <c r="F224" s="103"/>
      <c r="G224" s="2"/>
      <c r="H224" s="105"/>
    </row>
    <row r="225" spans="1:7" s="105" customFormat="1">
      <c r="A225" s="182" t="s">
        <v>11</v>
      </c>
      <c r="B225" s="222" t="s">
        <v>388</v>
      </c>
      <c r="C225" s="223">
        <f>(0.8*3.1)+(0.4*3.1)</f>
        <v>3.7200000000000006</v>
      </c>
      <c r="D225" s="224" t="s">
        <v>532</v>
      </c>
      <c r="E225" s="103"/>
      <c r="F225" s="103"/>
      <c r="G225" s="2"/>
    </row>
    <row r="226" spans="1:7" s="105" customFormat="1">
      <c r="A226" s="182"/>
      <c r="B226" s="222"/>
      <c r="C226" s="223"/>
      <c r="D226" s="224"/>
      <c r="E226" s="103"/>
      <c r="F226" s="103"/>
      <c r="G226" s="2"/>
    </row>
    <row r="227" spans="1:7" s="105" customFormat="1">
      <c r="A227" s="230"/>
      <c r="B227" s="380"/>
      <c r="C227" s="381"/>
      <c r="D227" s="382"/>
      <c r="E227" s="106"/>
      <c r="F227" s="106"/>
      <c r="G227" s="107"/>
    </row>
    <row r="228" spans="1:7" s="105" customFormat="1">
      <c r="A228" s="202"/>
      <c r="B228" s="220"/>
      <c r="C228" s="383"/>
      <c r="D228" s="221"/>
      <c r="E228" s="109"/>
      <c r="F228" s="109"/>
      <c r="G228" s="110"/>
    </row>
    <row r="229" spans="1:7" s="111" customFormat="1">
      <c r="A229" s="174" t="s">
        <v>76</v>
      </c>
      <c r="B229" s="384" t="s">
        <v>83</v>
      </c>
      <c r="C229" s="197"/>
      <c r="D229" s="198"/>
      <c r="E229" s="305"/>
      <c r="F229" s="103"/>
      <c r="G229" s="104"/>
    </row>
    <row r="230" spans="1:7" s="111" customFormat="1">
      <c r="A230" s="279"/>
      <c r="B230" s="385" t="s">
        <v>87</v>
      </c>
      <c r="C230" s="197"/>
      <c r="D230" s="198"/>
      <c r="E230" s="305"/>
      <c r="F230" s="103"/>
      <c r="G230" s="104"/>
    </row>
    <row r="231" spans="1:7" s="111" customFormat="1" ht="36">
      <c r="A231" s="386"/>
      <c r="B231" s="203" t="s">
        <v>451</v>
      </c>
      <c r="C231" s="387"/>
      <c r="D231" s="386"/>
      <c r="E231" s="116"/>
      <c r="F231" s="116">
        <v>0</v>
      </c>
      <c r="G231" s="117"/>
    </row>
    <row r="232" spans="1:7" s="111" customFormat="1" ht="24">
      <c r="A232" s="199" t="s">
        <v>8</v>
      </c>
      <c r="B232" s="388" t="s">
        <v>168</v>
      </c>
      <c r="C232" s="180">
        <f>C220+(2.27*1*2)</f>
        <v>199.94</v>
      </c>
      <c r="D232" s="180" t="s">
        <v>532</v>
      </c>
      <c r="E232" s="103"/>
      <c r="F232" s="103">
        <v>0</v>
      </c>
      <c r="G232" s="2"/>
    </row>
    <row r="233" spans="1:7" s="111" customFormat="1" ht="24">
      <c r="A233" s="199" t="s">
        <v>9</v>
      </c>
      <c r="B233" s="388" t="s">
        <v>173</v>
      </c>
      <c r="C233" s="180">
        <f>(C221*2)+(C222*2)+C225</f>
        <v>299.82</v>
      </c>
      <c r="D233" s="180" t="s">
        <v>532</v>
      </c>
      <c r="E233" s="103"/>
      <c r="F233" s="103"/>
      <c r="G233" s="2"/>
    </row>
    <row r="234" spans="1:7" s="111" customFormat="1" ht="24">
      <c r="A234" s="199" t="s">
        <v>10</v>
      </c>
      <c r="B234" s="388" t="s">
        <v>73</v>
      </c>
      <c r="C234" s="180">
        <v>1</v>
      </c>
      <c r="D234" s="180" t="s">
        <v>7</v>
      </c>
      <c r="E234" s="103"/>
      <c r="F234" s="103">
        <v>0</v>
      </c>
      <c r="G234" s="2"/>
    </row>
    <row r="235" spans="1:7" s="111" customFormat="1" ht="24">
      <c r="A235" s="199" t="s">
        <v>11</v>
      </c>
      <c r="B235" s="388" t="s">
        <v>109</v>
      </c>
      <c r="C235" s="180">
        <v>1</v>
      </c>
      <c r="D235" s="180" t="s">
        <v>7</v>
      </c>
      <c r="E235" s="103"/>
      <c r="F235" s="103"/>
      <c r="G235" s="2"/>
    </row>
    <row r="236" spans="1:7" s="111" customFormat="1">
      <c r="A236" s="182"/>
      <c r="B236" s="388"/>
      <c r="C236" s="180"/>
      <c r="D236" s="180"/>
      <c r="E236" s="103"/>
      <c r="F236" s="103"/>
      <c r="G236" s="2"/>
    </row>
    <row r="237" spans="1:7" s="111" customFormat="1">
      <c r="A237" s="279"/>
      <c r="B237" s="385" t="s">
        <v>88</v>
      </c>
      <c r="C237" s="197"/>
      <c r="D237" s="198"/>
      <c r="E237" s="305"/>
      <c r="F237" s="103"/>
      <c r="G237" s="104"/>
    </row>
    <row r="238" spans="1:7" s="111" customFormat="1" ht="60">
      <c r="A238" s="182"/>
      <c r="B238" s="203" t="s">
        <v>515</v>
      </c>
      <c r="C238" s="180"/>
      <c r="D238" s="182"/>
      <c r="E238" s="103"/>
      <c r="F238" s="103">
        <v>0</v>
      </c>
      <c r="G238" s="2"/>
    </row>
    <row r="239" spans="1:7" s="105" customFormat="1">
      <c r="A239" s="182" t="s">
        <v>12</v>
      </c>
      <c r="B239" s="389" t="s">
        <v>171</v>
      </c>
      <c r="C239" s="180">
        <f>C232</f>
        <v>199.94</v>
      </c>
      <c r="D239" s="182" t="s">
        <v>532</v>
      </c>
      <c r="E239" s="103"/>
      <c r="F239" s="103">
        <v>0</v>
      </c>
      <c r="G239" s="2"/>
    </row>
    <row r="240" spans="1:7" s="111" customFormat="1">
      <c r="A240" s="182"/>
      <c r="B240" s="369"/>
      <c r="C240" s="180"/>
      <c r="D240" s="182"/>
      <c r="E240" s="103"/>
      <c r="F240" s="103"/>
      <c r="G240" s="2"/>
    </row>
    <row r="241" spans="1:7" s="111" customFormat="1" ht="48">
      <c r="A241" s="182"/>
      <c r="B241" s="369" t="s">
        <v>174</v>
      </c>
      <c r="C241" s="180"/>
      <c r="D241" s="182"/>
      <c r="E241" s="103"/>
      <c r="F241" s="103"/>
      <c r="G241" s="2"/>
    </row>
    <row r="242" spans="1:7" s="111" customFormat="1">
      <c r="A242" s="182" t="s">
        <v>13</v>
      </c>
      <c r="B242" s="390" t="s">
        <v>172</v>
      </c>
      <c r="C242" s="180">
        <f>C233</f>
        <v>299.82</v>
      </c>
      <c r="D242" s="182" t="s">
        <v>532</v>
      </c>
      <c r="E242" s="103"/>
      <c r="F242" s="103"/>
      <c r="G242" s="2"/>
    </row>
    <row r="243" spans="1:7" s="111" customFormat="1">
      <c r="A243" s="182"/>
      <c r="B243" s="188"/>
      <c r="C243" s="180"/>
      <c r="D243" s="182"/>
      <c r="E243" s="103"/>
      <c r="F243" s="103"/>
      <c r="G243" s="2"/>
    </row>
    <row r="244" spans="1:7" s="111" customFormat="1">
      <c r="A244" s="279"/>
      <c r="B244" s="385" t="s">
        <v>89</v>
      </c>
      <c r="C244" s="197"/>
      <c r="D244" s="198"/>
      <c r="E244" s="305"/>
      <c r="F244" s="103"/>
      <c r="G244" s="104"/>
    </row>
    <row r="245" spans="1:7" s="111" customFormat="1" ht="40.5" customHeight="1">
      <c r="A245" s="182"/>
      <c r="B245" s="369" t="s">
        <v>598</v>
      </c>
      <c r="C245" s="180"/>
      <c r="D245" s="182"/>
      <c r="E245" s="103"/>
      <c r="F245" s="103"/>
      <c r="G245" s="3"/>
    </row>
    <row r="246" spans="1:7" s="111" customFormat="1">
      <c r="A246" s="199" t="s">
        <v>14</v>
      </c>
      <c r="B246" s="188" t="s">
        <v>297</v>
      </c>
      <c r="C246" s="180">
        <v>98.26</v>
      </c>
      <c r="D246" s="180" t="s">
        <v>532</v>
      </c>
      <c r="E246" s="103"/>
      <c r="F246" s="103"/>
      <c r="G246" s="3"/>
    </row>
    <row r="247" spans="1:7" s="105" customFormat="1">
      <c r="A247" s="182" t="s">
        <v>61</v>
      </c>
      <c r="B247" s="188" t="s">
        <v>298</v>
      </c>
      <c r="C247" s="180">
        <v>7.52</v>
      </c>
      <c r="D247" s="180" t="s">
        <v>532</v>
      </c>
      <c r="E247" s="103"/>
      <c r="F247" s="103"/>
      <c r="G247" s="3"/>
    </row>
    <row r="248" spans="1:7" s="111" customFormat="1">
      <c r="A248" s="182"/>
      <c r="B248" s="188"/>
      <c r="C248" s="180"/>
      <c r="D248" s="180"/>
      <c r="E248" s="103"/>
      <c r="F248" s="103"/>
      <c r="G248" s="3"/>
    </row>
    <row r="249" spans="1:7" s="111" customFormat="1">
      <c r="A249" s="174" t="s">
        <v>112</v>
      </c>
      <c r="B249" s="384" t="s">
        <v>62</v>
      </c>
      <c r="C249" s="174"/>
      <c r="D249" s="174"/>
      <c r="E249" s="100"/>
      <c r="F249" s="103"/>
      <c r="G249" s="2"/>
    </row>
    <row r="250" spans="1:7" s="111" customFormat="1" ht="48">
      <c r="A250" s="182"/>
      <c r="B250" s="360" t="s">
        <v>483</v>
      </c>
      <c r="C250" s="180"/>
      <c r="D250" s="182"/>
      <c r="E250" s="103"/>
      <c r="F250" s="103"/>
      <c r="G250" s="2"/>
    </row>
    <row r="251" spans="1:7" s="111" customFormat="1">
      <c r="A251" s="182" t="s">
        <v>8</v>
      </c>
      <c r="B251" s="388" t="s">
        <v>122</v>
      </c>
      <c r="C251" s="180">
        <v>185.5</v>
      </c>
      <c r="D251" s="182" t="s">
        <v>532</v>
      </c>
      <c r="E251" s="103"/>
      <c r="F251" s="103"/>
      <c r="G251" s="3"/>
    </row>
    <row r="252" spans="1:7" s="111" customFormat="1">
      <c r="A252" s="182"/>
      <c r="B252" s="388"/>
      <c r="C252" s="180"/>
      <c r="D252" s="182"/>
      <c r="E252" s="103"/>
      <c r="F252" s="103"/>
      <c r="G252" s="3"/>
    </row>
    <row r="253" spans="1:7" s="111" customFormat="1" ht="60">
      <c r="A253" s="182"/>
      <c r="B253" s="229" t="s">
        <v>484</v>
      </c>
      <c r="C253" s="180"/>
      <c r="D253" s="182"/>
      <c r="E253" s="103"/>
      <c r="F253" s="103">
        <v>0</v>
      </c>
      <c r="G253" s="99"/>
    </row>
    <row r="254" spans="1:7" s="111" customFormat="1">
      <c r="A254" s="182" t="s">
        <v>9</v>
      </c>
      <c r="B254" s="391" t="s">
        <v>300</v>
      </c>
      <c r="C254" s="180">
        <f>175.36-39.6-4.5</f>
        <v>131.26000000000002</v>
      </c>
      <c r="D254" s="182" t="s">
        <v>532</v>
      </c>
      <c r="E254" s="103"/>
      <c r="F254" s="103"/>
      <c r="G254" s="99"/>
    </row>
    <row r="255" spans="1:7" s="111" customFormat="1">
      <c r="A255" s="182"/>
      <c r="B255" s="391"/>
      <c r="C255" s="180"/>
      <c r="D255" s="182"/>
      <c r="E255" s="103"/>
      <c r="F255" s="103"/>
      <c r="G255" s="99"/>
    </row>
    <row r="256" spans="1:7" s="111" customFormat="1" ht="60">
      <c r="A256" s="182"/>
      <c r="B256" s="229" t="s">
        <v>485</v>
      </c>
      <c r="C256" s="180"/>
      <c r="D256" s="182"/>
      <c r="E256" s="103"/>
      <c r="F256" s="103">
        <v>0</v>
      </c>
      <c r="G256" s="99"/>
    </row>
    <row r="257" spans="1:7" s="111" customFormat="1">
      <c r="A257" s="199" t="s">
        <v>10</v>
      </c>
      <c r="B257" s="187" t="s">
        <v>486</v>
      </c>
      <c r="C257" s="180">
        <v>38.700000000000003</v>
      </c>
      <c r="D257" s="182" t="s">
        <v>532</v>
      </c>
      <c r="E257" s="103"/>
      <c r="F257" s="103">
        <v>0</v>
      </c>
      <c r="G257" s="2"/>
    </row>
    <row r="258" spans="1:7" s="111" customFormat="1">
      <c r="A258" s="182" t="s">
        <v>11</v>
      </c>
      <c r="B258" s="188" t="s">
        <v>299</v>
      </c>
      <c r="C258" s="180">
        <v>4.5</v>
      </c>
      <c r="D258" s="182" t="s">
        <v>532</v>
      </c>
      <c r="E258" s="103"/>
      <c r="F258" s="103">
        <v>0</v>
      </c>
      <c r="G258" s="2"/>
    </row>
    <row r="259" spans="1:7" s="111" customFormat="1">
      <c r="A259" s="182"/>
      <c r="B259" s="188"/>
      <c r="C259" s="180"/>
      <c r="D259" s="182"/>
      <c r="E259" s="103"/>
      <c r="F259" s="103"/>
      <c r="G259" s="2"/>
    </row>
    <row r="260" spans="1:7" s="111" customFormat="1">
      <c r="A260" s="182"/>
      <c r="B260" s="188"/>
      <c r="C260" s="180"/>
      <c r="D260" s="182"/>
      <c r="E260" s="103"/>
      <c r="F260" s="103"/>
      <c r="G260" s="2"/>
    </row>
    <row r="261" spans="1:7" s="111" customFormat="1">
      <c r="A261" s="182"/>
      <c r="B261" s="188"/>
      <c r="C261" s="180"/>
      <c r="D261" s="182"/>
      <c r="E261" s="103"/>
      <c r="F261" s="103"/>
      <c r="G261" s="2"/>
    </row>
    <row r="262" spans="1:7" s="111" customFormat="1">
      <c r="A262" s="230"/>
      <c r="B262" s="366"/>
      <c r="C262" s="191"/>
      <c r="D262" s="230"/>
      <c r="E262" s="106"/>
      <c r="F262" s="106"/>
      <c r="G262" s="107"/>
    </row>
    <row r="263" spans="1:7" s="111" customFormat="1">
      <c r="A263" s="202"/>
      <c r="B263" s="392"/>
      <c r="C263" s="195"/>
      <c r="D263" s="202"/>
      <c r="E263" s="109"/>
      <c r="F263" s="109">
        <v>0</v>
      </c>
      <c r="G263" s="110"/>
    </row>
    <row r="264" spans="1:7" s="111" customFormat="1" ht="48">
      <c r="A264" s="232"/>
      <c r="B264" s="393" t="s">
        <v>176</v>
      </c>
      <c r="C264" s="234"/>
      <c r="D264" s="235"/>
      <c r="E264" s="7"/>
      <c r="F264" s="7"/>
      <c r="G264" s="1"/>
    </row>
    <row r="265" spans="1:7" s="111" customFormat="1">
      <c r="A265" s="394" t="s">
        <v>12</v>
      </c>
      <c r="B265" s="395" t="s">
        <v>301</v>
      </c>
      <c r="C265" s="234">
        <f>39.6+4.5</f>
        <v>44.1</v>
      </c>
      <c r="D265" s="235" t="s">
        <v>532</v>
      </c>
      <c r="E265" s="7"/>
      <c r="F265" s="7"/>
      <c r="G265" s="1"/>
    </row>
    <row r="266" spans="1:7" s="111" customFormat="1">
      <c r="A266" s="394"/>
      <c r="B266" s="395"/>
      <c r="C266" s="234"/>
      <c r="D266" s="235"/>
      <c r="E266" s="7"/>
      <c r="F266" s="7"/>
      <c r="G266" s="1"/>
    </row>
    <row r="267" spans="1:7" s="111" customFormat="1">
      <c r="A267" s="394"/>
      <c r="B267" s="395"/>
      <c r="C267" s="234"/>
      <c r="D267" s="235"/>
      <c r="E267" s="7"/>
      <c r="F267" s="7"/>
      <c r="G267" s="1"/>
    </row>
    <row r="268" spans="1:7" s="111" customFormat="1">
      <c r="A268" s="353" t="s">
        <v>90</v>
      </c>
      <c r="B268" s="384" t="s">
        <v>85</v>
      </c>
      <c r="C268" s="180"/>
      <c r="D268" s="182"/>
      <c r="E268" s="103"/>
      <c r="F268" s="103"/>
      <c r="G268" s="2"/>
    </row>
    <row r="269" spans="1:7" s="111" customFormat="1" ht="60">
      <c r="A269" s="363"/>
      <c r="B269" s="396" t="s">
        <v>224</v>
      </c>
      <c r="C269" s="180"/>
      <c r="D269" s="182"/>
      <c r="E269" s="103"/>
      <c r="F269" s="103"/>
      <c r="G269" s="2"/>
    </row>
    <row r="270" spans="1:7" s="111" customFormat="1">
      <c r="A270" s="355" t="s">
        <v>8</v>
      </c>
      <c r="B270" s="364" t="s">
        <v>305</v>
      </c>
      <c r="C270" s="180">
        <f>130.87</f>
        <v>130.87</v>
      </c>
      <c r="D270" s="182" t="s">
        <v>532</v>
      </c>
      <c r="E270" s="103"/>
      <c r="F270" s="103"/>
      <c r="G270" s="2"/>
    </row>
    <row r="271" spans="1:7" s="111" customFormat="1">
      <c r="A271" s="355"/>
      <c r="B271" s="364"/>
      <c r="C271" s="180"/>
      <c r="D271" s="182"/>
      <c r="E271" s="103"/>
      <c r="F271" s="103"/>
      <c r="G271" s="2"/>
    </row>
    <row r="272" spans="1:7" s="111" customFormat="1" ht="60">
      <c r="A272" s="355"/>
      <c r="B272" s="396" t="s">
        <v>418</v>
      </c>
      <c r="C272" s="180"/>
      <c r="D272" s="182"/>
      <c r="E272" s="103"/>
      <c r="F272" s="103"/>
      <c r="G272" s="2"/>
    </row>
    <row r="273" spans="1:7" s="111" customFormat="1">
      <c r="A273" s="355" t="s">
        <v>9</v>
      </c>
      <c r="B273" s="364" t="s">
        <v>488</v>
      </c>
      <c r="C273" s="180">
        <v>43.25</v>
      </c>
      <c r="D273" s="182" t="s">
        <v>532</v>
      </c>
      <c r="E273" s="103"/>
      <c r="F273" s="103"/>
      <c r="G273" s="2"/>
    </row>
    <row r="274" spans="1:7" s="111" customFormat="1">
      <c r="A274" s="355"/>
      <c r="B274" s="364"/>
      <c r="C274" s="180"/>
      <c r="D274" s="182"/>
      <c r="E274" s="103"/>
      <c r="F274" s="103"/>
      <c r="G274" s="2"/>
    </row>
    <row r="275" spans="1:7" s="111" customFormat="1" ht="48">
      <c r="A275" s="363"/>
      <c r="B275" s="179" t="s">
        <v>133</v>
      </c>
      <c r="C275" s="180"/>
      <c r="D275" s="182"/>
      <c r="E275" s="103"/>
      <c r="F275" s="103"/>
      <c r="G275" s="2"/>
    </row>
    <row r="276" spans="1:7" s="111" customFormat="1">
      <c r="A276" s="355" t="s">
        <v>10</v>
      </c>
      <c r="B276" s="364" t="s">
        <v>131</v>
      </c>
      <c r="C276" s="180">
        <v>158.16999999999999</v>
      </c>
      <c r="D276" s="182" t="s">
        <v>4</v>
      </c>
      <c r="E276" s="103"/>
      <c r="F276" s="103"/>
      <c r="G276" s="2"/>
    </row>
    <row r="277" spans="1:7" s="111" customFormat="1">
      <c r="A277" s="355"/>
      <c r="B277" s="364"/>
      <c r="C277" s="180"/>
      <c r="D277" s="182"/>
      <c r="E277" s="103"/>
      <c r="F277" s="103"/>
      <c r="G277" s="2"/>
    </row>
    <row r="278" spans="1:7" s="111" customFormat="1" ht="36">
      <c r="A278" s="355"/>
      <c r="B278" s="397" t="s">
        <v>32</v>
      </c>
      <c r="C278" s="180"/>
      <c r="D278" s="182"/>
      <c r="E278" s="103"/>
      <c r="F278" s="103"/>
      <c r="G278" s="2"/>
    </row>
    <row r="279" spans="1:7" s="111" customFormat="1">
      <c r="A279" s="355" t="s">
        <v>11</v>
      </c>
      <c r="B279" s="364" t="s">
        <v>132</v>
      </c>
      <c r="C279" s="180">
        <f>C270+C273+(C276*(0.025*6))</f>
        <v>197.84550000000002</v>
      </c>
      <c r="D279" s="182" t="s">
        <v>532</v>
      </c>
      <c r="E279" s="103"/>
      <c r="F279" s="103"/>
      <c r="G279" s="2"/>
    </row>
    <row r="280" spans="1:7" s="111" customFormat="1">
      <c r="A280" s="355"/>
      <c r="B280" s="364"/>
      <c r="C280" s="180"/>
      <c r="D280" s="182"/>
      <c r="E280" s="103"/>
      <c r="F280" s="103"/>
      <c r="G280" s="2"/>
    </row>
    <row r="281" spans="1:7" s="111" customFormat="1">
      <c r="A281" s="225" t="s">
        <v>91</v>
      </c>
      <c r="B281" s="384" t="s">
        <v>563</v>
      </c>
      <c r="C281" s="373" t="s">
        <v>1</v>
      </c>
      <c r="D281" s="374"/>
      <c r="E281" s="312"/>
      <c r="F281" s="103">
        <v>0</v>
      </c>
      <c r="G281" s="2"/>
    </row>
    <row r="282" spans="1:7" s="111" customFormat="1" ht="51" customHeight="1">
      <c r="A282" s="198"/>
      <c r="B282" s="360" t="s">
        <v>407</v>
      </c>
      <c r="C282" s="197"/>
      <c r="D282" s="198"/>
      <c r="E282" s="312"/>
      <c r="F282" s="103"/>
      <c r="G282" s="2"/>
    </row>
    <row r="283" spans="1:7" s="111" customFormat="1">
      <c r="A283" s="198" t="s">
        <v>8</v>
      </c>
      <c r="B283" s="398" t="s">
        <v>320</v>
      </c>
      <c r="C283" s="197">
        <v>4.74</v>
      </c>
      <c r="D283" s="198" t="s">
        <v>534</v>
      </c>
      <c r="E283" s="312"/>
      <c r="F283" s="103"/>
      <c r="G283" s="2"/>
    </row>
    <row r="284" spans="1:7" s="111" customFormat="1">
      <c r="A284" s="198"/>
      <c r="B284" s="398"/>
      <c r="C284" s="197"/>
      <c r="D284" s="198"/>
      <c r="E284" s="312"/>
      <c r="F284" s="103"/>
      <c r="G284" s="2"/>
    </row>
    <row r="285" spans="1:7" s="111" customFormat="1" ht="24">
      <c r="A285" s="198"/>
      <c r="B285" s="369" t="s">
        <v>153</v>
      </c>
      <c r="C285" s="197"/>
      <c r="D285" s="198"/>
      <c r="E285" s="312"/>
      <c r="F285" s="103"/>
      <c r="G285" s="2"/>
    </row>
    <row r="286" spans="1:7" s="111" customFormat="1">
      <c r="A286" s="198" t="s">
        <v>9</v>
      </c>
      <c r="B286" s="398" t="s">
        <v>321</v>
      </c>
      <c r="C286" s="197">
        <v>16.670000000000002</v>
      </c>
      <c r="D286" s="198" t="s">
        <v>532</v>
      </c>
      <c r="E286" s="312"/>
      <c r="F286" s="103"/>
      <c r="G286" s="2"/>
    </row>
    <row r="287" spans="1:7" s="111" customFormat="1">
      <c r="A287" s="198"/>
      <c r="B287" s="398"/>
      <c r="C287" s="197"/>
      <c r="D287" s="198"/>
      <c r="E287" s="312"/>
      <c r="F287" s="103"/>
      <c r="G287" s="2"/>
    </row>
    <row r="288" spans="1:7" s="111" customFormat="1" ht="24">
      <c r="A288" s="198"/>
      <c r="B288" s="360" t="s">
        <v>30</v>
      </c>
      <c r="C288" s="197"/>
      <c r="D288" s="198"/>
      <c r="E288" s="312"/>
      <c r="F288" s="103"/>
      <c r="G288" s="2"/>
    </row>
    <row r="289" spans="1:7" s="111" customFormat="1">
      <c r="A289" s="198"/>
      <c r="B289" s="188" t="s">
        <v>321</v>
      </c>
      <c r="C289" s="188"/>
      <c r="D289" s="182"/>
      <c r="E289" s="312"/>
      <c r="F289" s="103"/>
      <c r="G289" s="2"/>
    </row>
    <row r="290" spans="1:7" s="111" customFormat="1">
      <c r="A290" s="198" t="s">
        <v>10</v>
      </c>
      <c r="B290" s="399" t="s">
        <v>322</v>
      </c>
      <c r="C290" s="180">
        <v>100.75</v>
      </c>
      <c r="D290" s="198" t="s">
        <v>295</v>
      </c>
      <c r="E290" s="312"/>
      <c r="F290" s="103"/>
      <c r="G290" s="2"/>
    </row>
    <row r="291" spans="1:7" s="111" customFormat="1">
      <c r="A291" s="198" t="s">
        <v>11</v>
      </c>
      <c r="B291" s="398" t="s">
        <v>27</v>
      </c>
      <c r="C291" s="197">
        <f>C290*0.1</f>
        <v>10.075000000000001</v>
      </c>
      <c r="D291" s="198" t="s">
        <v>295</v>
      </c>
      <c r="E291" s="312"/>
      <c r="F291" s="103"/>
      <c r="G291" s="2"/>
    </row>
    <row r="292" spans="1:7" s="111" customFormat="1">
      <c r="A292" s="198" t="s">
        <v>10</v>
      </c>
      <c r="B292" s="399" t="s">
        <v>490</v>
      </c>
      <c r="C292" s="180">
        <f>(0.9*6)*0.888</f>
        <v>4.7952000000000004</v>
      </c>
      <c r="D292" s="198" t="s">
        <v>295</v>
      </c>
      <c r="E292" s="312"/>
      <c r="F292" s="103"/>
      <c r="G292" s="2"/>
    </row>
    <row r="293" spans="1:7" s="111" customFormat="1">
      <c r="A293" s="198"/>
      <c r="B293" s="399"/>
      <c r="C293" s="180"/>
      <c r="D293" s="198"/>
      <c r="E293" s="312"/>
      <c r="F293" s="103"/>
      <c r="G293" s="2"/>
    </row>
    <row r="294" spans="1:7" s="111" customFormat="1" ht="72.75" customHeight="1">
      <c r="A294" s="198"/>
      <c r="B294" s="400" t="s">
        <v>564</v>
      </c>
      <c r="C294" s="197"/>
      <c r="D294" s="198"/>
      <c r="E294" s="312"/>
      <c r="F294" s="103"/>
      <c r="G294" s="2"/>
    </row>
    <row r="295" spans="1:7" s="111" customFormat="1">
      <c r="A295" s="198" t="s">
        <v>12</v>
      </c>
      <c r="B295" s="398" t="s">
        <v>489</v>
      </c>
      <c r="C295" s="197">
        <v>26.67</v>
      </c>
      <c r="D295" s="197" t="s">
        <v>532</v>
      </c>
      <c r="E295" s="312"/>
      <c r="F295" s="103"/>
      <c r="G295" s="2"/>
    </row>
    <row r="296" spans="1:7" s="111" customFormat="1">
      <c r="A296" s="401"/>
      <c r="B296" s="402"/>
      <c r="C296" s="403"/>
      <c r="D296" s="403"/>
      <c r="E296" s="321"/>
      <c r="F296" s="106"/>
      <c r="G296" s="107"/>
    </row>
    <row r="297" spans="1:7" s="111" customFormat="1">
      <c r="A297" s="198"/>
      <c r="B297" s="398"/>
      <c r="C297" s="197"/>
      <c r="D297" s="197"/>
      <c r="E297" s="312"/>
      <c r="F297" s="103"/>
      <c r="G297" s="2"/>
    </row>
    <row r="298" spans="1:7" s="111" customFormat="1" ht="60.75" customHeight="1">
      <c r="A298" s="198"/>
      <c r="B298" s="400" t="s">
        <v>491</v>
      </c>
      <c r="C298" s="197"/>
      <c r="D298" s="198"/>
      <c r="E298" s="312"/>
      <c r="F298" s="103"/>
      <c r="G298" s="2"/>
    </row>
    <row r="299" spans="1:7" s="111" customFormat="1">
      <c r="A299" s="258" t="s">
        <v>13</v>
      </c>
      <c r="B299" s="188" t="s">
        <v>323</v>
      </c>
      <c r="C299" s="180">
        <v>1</v>
      </c>
      <c r="D299" s="182" t="s">
        <v>28</v>
      </c>
      <c r="E299" s="312"/>
      <c r="F299" s="103"/>
      <c r="G299" s="2"/>
    </row>
    <row r="300" spans="1:7" s="111" customFormat="1">
      <c r="A300" s="258"/>
      <c r="B300" s="188"/>
      <c r="C300" s="182"/>
      <c r="D300" s="182"/>
      <c r="E300" s="312"/>
      <c r="F300" s="103"/>
      <c r="G300" s="2"/>
    </row>
    <row r="301" spans="1:7" s="111" customFormat="1">
      <c r="A301" s="358" t="s">
        <v>92</v>
      </c>
      <c r="B301" s="377" t="s">
        <v>43</v>
      </c>
      <c r="C301" s="197"/>
      <c r="D301" s="198"/>
      <c r="E301" s="305"/>
      <c r="F301" s="103"/>
      <c r="G301" s="102"/>
    </row>
    <row r="302" spans="1:7" s="111" customFormat="1" ht="36">
      <c r="A302" s="182"/>
      <c r="B302" s="404" t="s">
        <v>212</v>
      </c>
      <c r="C302" s="180"/>
      <c r="D302" s="182"/>
      <c r="E302" s="103"/>
      <c r="F302" s="103">
        <v>0</v>
      </c>
      <c r="G302" s="104"/>
    </row>
    <row r="303" spans="1:7" s="111" customFormat="1">
      <c r="A303" s="182" t="s">
        <v>8</v>
      </c>
      <c r="B303" s="188" t="s">
        <v>208</v>
      </c>
      <c r="C303" s="180"/>
      <c r="D303" s="182"/>
      <c r="E303" s="103"/>
      <c r="F303" s="103">
        <v>0</v>
      </c>
      <c r="G303" s="2"/>
    </row>
    <row r="304" spans="1:7" s="111" customFormat="1">
      <c r="A304" s="182"/>
      <c r="B304" s="188" t="s">
        <v>211</v>
      </c>
      <c r="C304" s="180"/>
      <c r="D304" s="182"/>
      <c r="E304" s="103"/>
      <c r="F304" s="103"/>
      <c r="G304" s="2"/>
    </row>
    <row r="305" spans="1:7" s="111" customFormat="1">
      <c r="A305" s="182"/>
      <c r="B305" s="188" t="s">
        <v>135</v>
      </c>
      <c r="C305" s="180">
        <v>3</v>
      </c>
      <c r="D305" s="182" t="s">
        <v>6</v>
      </c>
      <c r="E305" s="103"/>
      <c r="F305" s="103"/>
      <c r="G305" s="2"/>
    </row>
    <row r="306" spans="1:7" s="111" customFormat="1">
      <c r="A306" s="182"/>
      <c r="B306" s="188">
        <v>0</v>
      </c>
      <c r="C306" s="180">
        <v>0</v>
      </c>
      <c r="D306" s="182">
        <v>0</v>
      </c>
      <c r="E306" s="103"/>
      <c r="F306" s="103"/>
      <c r="G306" s="2"/>
    </row>
    <row r="307" spans="1:7" s="111" customFormat="1">
      <c r="A307" s="182" t="s">
        <v>9</v>
      </c>
      <c r="B307" s="188" t="s">
        <v>430</v>
      </c>
      <c r="C307" s="180">
        <v>0</v>
      </c>
      <c r="D307" s="182">
        <v>0</v>
      </c>
      <c r="E307" s="103"/>
      <c r="F307" s="103"/>
      <c r="G307" s="2"/>
    </row>
    <row r="308" spans="1:7" s="111" customFormat="1" ht="24">
      <c r="A308" s="182"/>
      <c r="B308" s="187" t="s">
        <v>492</v>
      </c>
      <c r="C308" s="180">
        <v>0</v>
      </c>
      <c r="D308" s="182">
        <v>0</v>
      </c>
      <c r="E308" s="103"/>
      <c r="F308" s="103"/>
      <c r="G308" s="2"/>
    </row>
    <row r="309" spans="1:7" s="111" customFormat="1">
      <c r="A309" s="182"/>
      <c r="B309" s="188" t="s">
        <v>135</v>
      </c>
      <c r="C309" s="180">
        <v>1</v>
      </c>
      <c r="D309" s="182" t="s">
        <v>6</v>
      </c>
      <c r="E309" s="103"/>
      <c r="F309" s="103"/>
      <c r="G309" s="2"/>
    </row>
    <row r="310" spans="1:7" s="111" customFormat="1">
      <c r="A310" s="182"/>
      <c r="B310" s="188">
        <v>0</v>
      </c>
      <c r="C310" s="180">
        <v>0</v>
      </c>
      <c r="D310" s="182">
        <v>0</v>
      </c>
      <c r="E310" s="103"/>
      <c r="F310" s="103"/>
      <c r="G310" s="2"/>
    </row>
    <row r="311" spans="1:7" s="111" customFormat="1">
      <c r="A311" s="199" t="s">
        <v>10</v>
      </c>
      <c r="B311" s="187" t="s">
        <v>0</v>
      </c>
      <c r="C311" s="180">
        <v>0</v>
      </c>
      <c r="D311" s="182">
        <v>0</v>
      </c>
      <c r="E311" s="103"/>
      <c r="F311" s="103"/>
      <c r="G311" s="2"/>
    </row>
    <row r="312" spans="1:7" s="111" customFormat="1">
      <c r="A312" s="199"/>
      <c r="B312" s="187" t="s">
        <v>420</v>
      </c>
      <c r="C312" s="180">
        <v>0</v>
      </c>
      <c r="D312" s="182">
        <v>0</v>
      </c>
      <c r="E312" s="103"/>
      <c r="F312" s="103"/>
      <c r="G312" s="2"/>
    </row>
    <row r="313" spans="1:7" s="111" customFormat="1">
      <c r="A313" s="199"/>
      <c r="B313" s="187" t="s">
        <v>210</v>
      </c>
      <c r="C313" s="180">
        <v>1</v>
      </c>
      <c r="D313" s="182" t="s">
        <v>6</v>
      </c>
      <c r="E313" s="103"/>
      <c r="F313" s="103"/>
      <c r="G313" s="2"/>
    </row>
    <row r="314" spans="1:7" s="111" customFormat="1">
      <c r="A314" s="182"/>
      <c r="B314" s="188">
        <v>0</v>
      </c>
      <c r="C314" s="180">
        <v>0</v>
      </c>
      <c r="D314" s="182">
        <v>0</v>
      </c>
      <c r="E314" s="103"/>
      <c r="F314" s="103"/>
      <c r="G314" s="2"/>
    </row>
    <row r="315" spans="1:7" s="111" customFormat="1">
      <c r="A315" s="182" t="s">
        <v>10</v>
      </c>
      <c r="B315" s="188" t="s">
        <v>307</v>
      </c>
      <c r="C315" s="180">
        <v>0</v>
      </c>
      <c r="D315" s="182">
        <v>0</v>
      </c>
      <c r="E315" s="103"/>
      <c r="F315" s="103"/>
      <c r="G315" s="2"/>
    </row>
    <row r="316" spans="1:7" s="111" customFormat="1">
      <c r="A316" s="182"/>
      <c r="B316" s="188" t="s">
        <v>308</v>
      </c>
      <c r="C316" s="180">
        <v>0</v>
      </c>
      <c r="D316" s="182">
        <v>0</v>
      </c>
      <c r="E316" s="103"/>
      <c r="F316" s="103"/>
      <c r="G316" s="2"/>
    </row>
    <row r="317" spans="1:7" s="111" customFormat="1">
      <c r="A317" s="182"/>
      <c r="B317" s="188" t="s">
        <v>309</v>
      </c>
      <c r="C317" s="180">
        <v>1</v>
      </c>
      <c r="D317" s="182" t="s">
        <v>6</v>
      </c>
      <c r="E317" s="103"/>
      <c r="F317" s="103"/>
      <c r="G317" s="2"/>
    </row>
    <row r="318" spans="1:7" s="111" customFormat="1">
      <c r="A318" s="182"/>
      <c r="B318" s="188"/>
      <c r="C318" s="180"/>
      <c r="D318" s="182"/>
      <c r="E318" s="103"/>
      <c r="F318" s="103"/>
      <c r="G318" s="2"/>
    </row>
    <row r="319" spans="1:7" s="111" customFormat="1" ht="48">
      <c r="A319" s="182"/>
      <c r="B319" s="184" t="s">
        <v>437</v>
      </c>
      <c r="C319" s="180">
        <v>0</v>
      </c>
      <c r="D319" s="182">
        <v>0</v>
      </c>
      <c r="E319" s="103"/>
      <c r="F319" s="103"/>
      <c r="G319" s="2"/>
    </row>
    <row r="320" spans="1:7" s="111" customFormat="1">
      <c r="A320" s="182" t="s">
        <v>11</v>
      </c>
      <c r="B320" s="188" t="s">
        <v>93</v>
      </c>
      <c r="C320" s="180">
        <v>0</v>
      </c>
      <c r="D320" s="182">
        <v>0</v>
      </c>
      <c r="E320" s="103"/>
      <c r="F320" s="103"/>
      <c r="G320" s="2"/>
    </row>
    <row r="321" spans="1:7" s="111" customFormat="1">
      <c r="A321" s="182"/>
      <c r="B321" s="188" t="s">
        <v>213</v>
      </c>
      <c r="C321" s="180">
        <v>0</v>
      </c>
      <c r="D321" s="182">
        <v>0</v>
      </c>
      <c r="E321" s="103"/>
      <c r="F321" s="103"/>
      <c r="G321" s="2"/>
    </row>
    <row r="322" spans="1:7" s="111" customFormat="1">
      <c r="A322" s="182"/>
      <c r="B322" s="188" t="s">
        <v>214</v>
      </c>
      <c r="C322" s="180">
        <v>7</v>
      </c>
      <c r="D322" s="182" t="s">
        <v>6</v>
      </c>
      <c r="E322" s="103"/>
      <c r="F322" s="103"/>
      <c r="G322" s="2"/>
    </row>
    <row r="323" spans="1:7" s="111" customFormat="1">
      <c r="A323" s="182"/>
      <c r="B323" s="188">
        <v>0</v>
      </c>
      <c r="C323" s="180">
        <v>0</v>
      </c>
      <c r="D323" s="182">
        <v>0</v>
      </c>
      <c r="E323" s="103"/>
      <c r="F323" s="103"/>
      <c r="G323" s="2"/>
    </row>
    <row r="324" spans="1:7" s="111" customFormat="1" ht="48">
      <c r="A324" s="182"/>
      <c r="B324" s="184" t="s">
        <v>494</v>
      </c>
      <c r="C324" s="180">
        <v>0</v>
      </c>
      <c r="D324" s="182">
        <v>0</v>
      </c>
      <c r="E324" s="103"/>
      <c r="F324" s="103"/>
      <c r="G324" s="2"/>
    </row>
    <row r="325" spans="1:7" s="111" customFormat="1">
      <c r="A325" s="182"/>
      <c r="B325" s="360"/>
      <c r="C325" s="180"/>
      <c r="D325" s="182"/>
      <c r="E325" s="103"/>
      <c r="F325" s="103"/>
      <c r="G325" s="2"/>
    </row>
    <row r="326" spans="1:7" s="111" customFormat="1">
      <c r="A326" s="182" t="s">
        <v>12</v>
      </c>
      <c r="B326" s="188" t="s">
        <v>215</v>
      </c>
      <c r="C326" s="180">
        <v>0</v>
      </c>
      <c r="D326" s="182">
        <v>0</v>
      </c>
      <c r="E326" s="103"/>
      <c r="F326" s="103"/>
      <c r="G326" s="2"/>
    </row>
    <row r="327" spans="1:7" s="111" customFormat="1">
      <c r="A327" s="182"/>
      <c r="B327" s="188" t="s">
        <v>216</v>
      </c>
      <c r="C327" s="180">
        <v>0</v>
      </c>
      <c r="D327" s="182">
        <v>0</v>
      </c>
      <c r="E327" s="103"/>
      <c r="F327" s="103"/>
      <c r="G327" s="2"/>
    </row>
    <row r="328" spans="1:7" s="111" customFormat="1">
      <c r="A328" s="182"/>
      <c r="B328" s="188" t="s">
        <v>136</v>
      </c>
      <c r="C328" s="180">
        <v>4</v>
      </c>
      <c r="D328" s="182" t="s">
        <v>6</v>
      </c>
      <c r="E328" s="103"/>
      <c r="F328" s="103"/>
      <c r="G328" s="2"/>
    </row>
    <row r="329" spans="1:7" s="111" customFormat="1">
      <c r="A329" s="182"/>
      <c r="B329" s="188">
        <v>0</v>
      </c>
      <c r="C329" s="180">
        <v>0</v>
      </c>
      <c r="D329" s="182">
        <v>0</v>
      </c>
      <c r="E329" s="103"/>
      <c r="F329" s="103"/>
      <c r="G329" s="2"/>
    </row>
    <row r="330" spans="1:7" s="111" customFormat="1">
      <c r="A330" s="182" t="s">
        <v>13</v>
      </c>
      <c r="B330" s="188" t="s">
        <v>218</v>
      </c>
      <c r="C330" s="180">
        <v>0</v>
      </c>
      <c r="D330" s="182">
        <v>0</v>
      </c>
      <c r="E330" s="103"/>
      <c r="F330" s="103"/>
      <c r="G330" s="2"/>
    </row>
    <row r="331" spans="1:7" s="111" customFormat="1">
      <c r="A331" s="182"/>
      <c r="B331" s="188" t="s">
        <v>438</v>
      </c>
      <c r="C331" s="180">
        <v>0</v>
      </c>
      <c r="D331" s="182">
        <v>0</v>
      </c>
      <c r="E331" s="103"/>
      <c r="F331" s="103"/>
      <c r="G331" s="2"/>
    </row>
    <row r="332" spans="1:7" s="111" customFormat="1">
      <c r="A332" s="182"/>
      <c r="B332" s="188" t="s">
        <v>137</v>
      </c>
      <c r="C332" s="180">
        <v>2</v>
      </c>
      <c r="D332" s="182" t="s">
        <v>6</v>
      </c>
      <c r="E332" s="103"/>
      <c r="F332" s="103"/>
      <c r="G332" s="2"/>
    </row>
    <row r="333" spans="1:7" s="111" customFormat="1">
      <c r="A333" s="182"/>
      <c r="B333" s="188">
        <v>0</v>
      </c>
      <c r="C333" s="180">
        <v>0</v>
      </c>
      <c r="D333" s="182">
        <v>0</v>
      </c>
      <c r="E333" s="103"/>
      <c r="F333" s="103"/>
      <c r="G333" s="2"/>
    </row>
    <row r="334" spans="1:7" s="111" customFormat="1">
      <c r="A334" s="182" t="s">
        <v>14</v>
      </c>
      <c r="B334" s="188" t="s">
        <v>117</v>
      </c>
      <c r="C334" s="180">
        <v>0</v>
      </c>
      <c r="D334" s="182">
        <v>0</v>
      </c>
      <c r="E334" s="103"/>
      <c r="F334" s="103"/>
      <c r="G334" s="2"/>
    </row>
    <row r="335" spans="1:7" s="111" customFormat="1">
      <c r="A335" s="182"/>
      <c r="B335" s="188" t="s">
        <v>310</v>
      </c>
      <c r="C335" s="180">
        <v>0</v>
      </c>
      <c r="D335" s="182">
        <v>0</v>
      </c>
      <c r="E335" s="103"/>
      <c r="F335" s="103"/>
      <c r="G335" s="2"/>
    </row>
    <row r="336" spans="1:7" s="111" customFormat="1">
      <c r="A336" s="182"/>
      <c r="B336" s="188" t="s">
        <v>141</v>
      </c>
      <c r="C336" s="180">
        <v>1</v>
      </c>
      <c r="D336" s="182" t="s">
        <v>6</v>
      </c>
      <c r="E336" s="103"/>
      <c r="F336" s="103"/>
      <c r="G336" s="2"/>
    </row>
    <row r="337" spans="1:7" s="111" customFormat="1">
      <c r="A337" s="182"/>
      <c r="B337" s="188">
        <v>0</v>
      </c>
      <c r="C337" s="180">
        <v>0</v>
      </c>
      <c r="D337" s="182">
        <v>0</v>
      </c>
      <c r="E337" s="103"/>
      <c r="F337" s="103"/>
      <c r="G337" s="2"/>
    </row>
    <row r="338" spans="1:7" s="111" customFormat="1">
      <c r="A338" s="182" t="s">
        <v>15</v>
      </c>
      <c r="B338" s="188" t="s">
        <v>311</v>
      </c>
      <c r="C338" s="180">
        <v>0</v>
      </c>
      <c r="D338" s="182">
        <v>0</v>
      </c>
      <c r="E338" s="103"/>
      <c r="F338" s="103"/>
      <c r="G338" s="2"/>
    </row>
    <row r="339" spans="1:7" s="111" customFormat="1">
      <c r="A339" s="182"/>
      <c r="B339" s="188" t="s">
        <v>313</v>
      </c>
      <c r="C339" s="180">
        <v>0</v>
      </c>
      <c r="D339" s="182">
        <v>0</v>
      </c>
      <c r="E339" s="103"/>
      <c r="F339" s="103"/>
      <c r="G339" s="2"/>
    </row>
    <row r="340" spans="1:7" s="111" customFormat="1">
      <c r="A340" s="182"/>
      <c r="B340" s="188" t="s">
        <v>312</v>
      </c>
      <c r="C340" s="180">
        <v>1</v>
      </c>
      <c r="D340" s="182" t="s">
        <v>6</v>
      </c>
      <c r="E340" s="103"/>
      <c r="F340" s="103"/>
      <c r="G340" s="2"/>
    </row>
    <row r="341" spans="1:7" s="111" customFormat="1">
      <c r="A341" s="182"/>
      <c r="B341" s="188"/>
      <c r="C341" s="180"/>
      <c r="D341" s="182"/>
      <c r="E341" s="103"/>
      <c r="F341" s="103"/>
      <c r="G341" s="2"/>
    </row>
    <row r="342" spans="1:7" s="111" customFormat="1">
      <c r="A342" s="182" t="s">
        <v>16</v>
      </c>
      <c r="B342" s="188" t="s">
        <v>314</v>
      </c>
      <c r="C342" s="180">
        <v>0</v>
      </c>
      <c r="D342" s="182">
        <v>0</v>
      </c>
      <c r="E342" s="103"/>
      <c r="F342" s="103"/>
      <c r="G342" s="2"/>
    </row>
    <row r="343" spans="1:7" s="111" customFormat="1">
      <c r="A343" s="182"/>
      <c r="B343" s="188" t="s">
        <v>315</v>
      </c>
      <c r="C343" s="180">
        <v>0</v>
      </c>
      <c r="D343" s="182">
        <v>0</v>
      </c>
      <c r="E343" s="103"/>
      <c r="F343" s="103"/>
      <c r="G343" s="2"/>
    </row>
    <row r="344" spans="1:7" s="111" customFormat="1">
      <c r="A344" s="230"/>
      <c r="B344" s="366" t="s">
        <v>136</v>
      </c>
      <c r="C344" s="191">
        <v>1</v>
      </c>
      <c r="D344" s="230" t="s">
        <v>6</v>
      </c>
      <c r="E344" s="106"/>
      <c r="F344" s="106"/>
      <c r="G344" s="107"/>
    </row>
    <row r="345" spans="1:7" s="111" customFormat="1">
      <c r="A345" s="202"/>
      <c r="B345" s="368"/>
      <c r="C345" s="195"/>
      <c r="D345" s="202"/>
      <c r="E345" s="109"/>
      <c r="F345" s="109"/>
      <c r="G345" s="110"/>
    </row>
    <row r="346" spans="1:7" s="111" customFormat="1">
      <c r="A346" s="182" t="s">
        <v>16</v>
      </c>
      <c r="B346" s="188" t="s">
        <v>495</v>
      </c>
      <c r="C346" s="180">
        <v>0</v>
      </c>
      <c r="D346" s="182">
        <v>0</v>
      </c>
      <c r="E346" s="103"/>
      <c r="F346" s="103"/>
      <c r="G346" s="2"/>
    </row>
    <row r="347" spans="1:7" s="111" customFormat="1">
      <c r="A347" s="182"/>
      <c r="B347" s="188" t="s">
        <v>496</v>
      </c>
      <c r="C347" s="180">
        <v>0</v>
      </c>
      <c r="D347" s="182">
        <v>0</v>
      </c>
      <c r="E347" s="103"/>
      <c r="F347" s="103"/>
      <c r="G347" s="2"/>
    </row>
    <row r="348" spans="1:7" s="111" customFormat="1">
      <c r="A348" s="182"/>
      <c r="B348" s="188" t="s">
        <v>497</v>
      </c>
      <c r="C348" s="180">
        <v>1</v>
      </c>
      <c r="D348" s="182" t="s">
        <v>6</v>
      </c>
      <c r="E348" s="103"/>
      <c r="F348" s="103"/>
      <c r="G348" s="2"/>
    </row>
    <row r="349" spans="1:7" s="111" customFormat="1">
      <c r="A349" s="182"/>
      <c r="B349" s="188">
        <v>0</v>
      </c>
      <c r="C349" s="180">
        <v>0</v>
      </c>
      <c r="D349" s="182">
        <v>0</v>
      </c>
      <c r="E349" s="103"/>
      <c r="F349" s="103"/>
      <c r="G349" s="2"/>
    </row>
    <row r="350" spans="1:7" s="111" customFormat="1">
      <c r="A350" s="182" t="s">
        <v>17</v>
      </c>
      <c r="B350" s="188" t="s">
        <v>222</v>
      </c>
      <c r="C350" s="180">
        <v>0</v>
      </c>
      <c r="D350" s="182">
        <v>0</v>
      </c>
      <c r="E350" s="103"/>
      <c r="F350" s="103"/>
      <c r="G350" s="2"/>
    </row>
    <row r="351" spans="1:7" s="111" customFormat="1">
      <c r="A351" s="182"/>
      <c r="B351" s="187" t="s">
        <v>223</v>
      </c>
      <c r="C351" s="180">
        <v>0</v>
      </c>
      <c r="D351" s="182">
        <v>0</v>
      </c>
      <c r="E351" s="103"/>
      <c r="F351" s="103"/>
      <c r="G351" s="2"/>
    </row>
    <row r="352" spans="1:7" s="111" customFormat="1">
      <c r="A352" s="182"/>
      <c r="B352" s="188" t="s">
        <v>139</v>
      </c>
      <c r="C352" s="180">
        <v>9</v>
      </c>
      <c r="D352" s="182" t="s">
        <v>6</v>
      </c>
      <c r="E352" s="103"/>
      <c r="F352" s="103"/>
      <c r="G352" s="2"/>
    </row>
    <row r="353" spans="1:7" s="111" customFormat="1">
      <c r="A353" s="182"/>
      <c r="B353" s="188"/>
      <c r="C353" s="180"/>
      <c r="D353" s="182"/>
      <c r="E353" s="103"/>
      <c r="F353" s="103"/>
      <c r="G353" s="2"/>
    </row>
    <row r="354" spans="1:7" s="111" customFormat="1">
      <c r="A354" s="182"/>
      <c r="B354" s="360" t="s">
        <v>406</v>
      </c>
      <c r="C354" s="180"/>
      <c r="D354" s="182"/>
      <c r="E354" s="103"/>
      <c r="F354" s="103"/>
      <c r="G354" s="2"/>
    </row>
    <row r="355" spans="1:7" s="111" customFormat="1">
      <c r="A355" s="182" t="s">
        <v>18</v>
      </c>
      <c r="B355" s="187" t="s">
        <v>445</v>
      </c>
      <c r="C355" s="180">
        <f>(42.98*0.15*0.15)*2</f>
        <v>1.9340999999999997</v>
      </c>
      <c r="D355" s="182" t="s">
        <v>534</v>
      </c>
      <c r="E355" s="103"/>
      <c r="F355" s="103"/>
      <c r="G355" s="2"/>
    </row>
    <row r="356" spans="1:7" s="111" customFormat="1">
      <c r="A356" s="182"/>
      <c r="B356" s="360"/>
      <c r="C356" s="180"/>
      <c r="D356" s="182"/>
      <c r="E356" s="103"/>
      <c r="F356" s="103"/>
      <c r="G356" s="2"/>
    </row>
    <row r="357" spans="1:7" s="111" customFormat="1">
      <c r="A357" s="182"/>
      <c r="B357" s="360" t="s">
        <v>105</v>
      </c>
      <c r="C357" s="180"/>
      <c r="D357" s="182"/>
      <c r="E357" s="103"/>
      <c r="F357" s="103"/>
      <c r="G357" s="2"/>
    </row>
    <row r="358" spans="1:7" s="111" customFormat="1">
      <c r="A358" s="182" t="s">
        <v>5</v>
      </c>
      <c r="B358" s="187" t="s">
        <v>446</v>
      </c>
      <c r="C358" s="180">
        <f>(42.98*0.15*2)*2</f>
        <v>25.787999999999997</v>
      </c>
      <c r="D358" s="182" t="s">
        <v>532</v>
      </c>
      <c r="E358" s="103"/>
      <c r="F358" s="103"/>
      <c r="G358" s="2"/>
    </row>
    <row r="359" spans="1:7" s="111" customFormat="1">
      <c r="A359" s="182"/>
      <c r="B359" s="360"/>
      <c r="C359" s="180"/>
      <c r="D359" s="182"/>
      <c r="E359" s="103"/>
      <c r="F359" s="103"/>
      <c r="G359" s="2"/>
    </row>
    <row r="360" spans="1:7" s="111" customFormat="1">
      <c r="A360" s="182"/>
      <c r="B360" s="360" t="s">
        <v>106</v>
      </c>
      <c r="C360" s="180"/>
      <c r="D360" s="182"/>
      <c r="E360" s="103"/>
      <c r="F360" s="103"/>
      <c r="G360" s="2"/>
    </row>
    <row r="361" spans="1:7" s="111" customFormat="1">
      <c r="A361" s="182"/>
      <c r="B361" s="187" t="s">
        <v>446</v>
      </c>
      <c r="C361" s="180"/>
      <c r="D361" s="182"/>
      <c r="E361" s="103"/>
      <c r="F361" s="103"/>
      <c r="G361" s="2"/>
    </row>
    <row r="362" spans="1:7" s="111" customFormat="1">
      <c r="A362" s="182" t="s">
        <v>19</v>
      </c>
      <c r="B362" s="188" t="s">
        <v>107</v>
      </c>
      <c r="C362" s="180">
        <v>212.14</v>
      </c>
      <c r="D362" s="182" t="s">
        <v>3</v>
      </c>
      <c r="E362" s="103"/>
      <c r="F362" s="103"/>
      <c r="G362" s="2"/>
    </row>
    <row r="363" spans="1:7" s="111" customFormat="1">
      <c r="A363" s="182"/>
      <c r="B363" s="188" t="s">
        <v>182</v>
      </c>
      <c r="C363" s="180">
        <v>17.809999999999999</v>
      </c>
      <c r="D363" s="182" t="s">
        <v>3</v>
      </c>
      <c r="E363" s="103"/>
      <c r="F363" s="103"/>
      <c r="G363" s="2"/>
    </row>
    <row r="364" spans="1:7" s="111" customFormat="1">
      <c r="A364" s="182"/>
      <c r="B364" s="188"/>
      <c r="C364" s="180"/>
      <c r="D364" s="182"/>
      <c r="E364" s="103"/>
      <c r="F364" s="103"/>
      <c r="G364" s="2"/>
    </row>
    <row r="365" spans="1:7" s="111" customFormat="1" ht="38.25">
      <c r="A365" s="199"/>
      <c r="B365" s="243" t="s">
        <v>543</v>
      </c>
      <c r="C365" s="180"/>
      <c r="D365" s="182"/>
      <c r="E365" s="103"/>
      <c r="F365" s="103"/>
      <c r="G365" s="2"/>
    </row>
    <row r="366" spans="1:7" s="111" customFormat="1" ht="12.75">
      <c r="A366" s="199"/>
      <c r="B366" s="244" t="s">
        <v>545</v>
      </c>
      <c r="C366" s="180"/>
      <c r="D366" s="182"/>
      <c r="E366" s="103"/>
      <c r="F366" s="103"/>
      <c r="G366" s="2"/>
    </row>
    <row r="367" spans="1:7" s="111" customFormat="1">
      <c r="A367" s="199" t="s">
        <v>20</v>
      </c>
      <c r="B367" s="187" t="s">
        <v>117</v>
      </c>
      <c r="C367" s="180">
        <v>0</v>
      </c>
      <c r="D367" s="182">
        <v>0</v>
      </c>
      <c r="E367" s="103"/>
      <c r="F367" s="103"/>
      <c r="G367" s="2"/>
    </row>
    <row r="368" spans="1:7" s="111" customFormat="1">
      <c r="A368" s="199"/>
      <c r="B368" s="187" t="s">
        <v>141</v>
      </c>
      <c r="C368" s="180">
        <v>1</v>
      </c>
      <c r="D368" s="182" t="s">
        <v>6</v>
      </c>
      <c r="E368" s="103"/>
      <c r="F368" s="103"/>
      <c r="G368" s="2"/>
    </row>
    <row r="369" spans="1:7" s="111" customFormat="1">
      <c r="A369" s="199"/>
      <c r="B369" s="187"/>
      <c r="C369" s="180"/>
      <c r="D369" s="182"/>
      <c r="E369" s="103"/>
      <c r="F369" s="103"/>
      <c r="G369" s="2"/>
    </row>
    <row r="370" spans="1:7" s="111" customFormat="1">
      <c r="A370" s="199" t="s">
        <v>21</v>
      </c>
      <c r="B370" s="187" t="s">
        <v>311</v>
      </c>
      <c r="C370" s="180">
        <v>0</v>
      </c>
      <c r="D370" s="182">
        <v>0</v>
      </c>
      <c r="E370" s="103"/>
      <c r="F370" s="103"/>
      <c r="G370" s="2"/>
    </row>
    <row r="371" spans="1:7" s="111" customFormat="1">
      <c r="A371" s="199"/>
      <c r="B371" s="187" t="s">
        <v>546</v>
      </c>
      <c r="C371" s="180">
        <v>1</v>
      </c>
      <c r="D371" s="182" t="s">
        <v>6</v>
      </c>
      <c r="E371" s="103"/>
      <c r="F371" s="103"/>
      <c r="G371" s="2"/>
    </row>
    <row r="372" spans="1:7" s="111" customFormat="1">
      <c r="A372" s="199"/>
      <c r="B372" s="187"/>
      <c r="C372" s="180"/>
      <c r="D372" s="182"/>
      <c r="E372" s="103"/>
      <c r="F372" s="103"/>
      <c r="G372" s="2"/>
    </row>
    <row r="373" spans="1:7" s="111" customFormat="1" ht="38.25">
      <c r="A373" s="199"/>
      <c r="B373" s="243" t="s">
        <v>544</v>
      </c>
      <c r="C373" s="180"/>
      <c r="D373" s="182"/>
      <c r="E373" s="103"/>
      <c r="F373" s="103"/>
      <c r="G373" s="2"/>
    </row>
    <row r="374" spans="1:7" s="111" customFormat="1" ht="12.75">
      <c r="A374" s="199"/>
      <c r="B374" s="243"/>
      <c r="C374" s="180"/>
      <c r="D374" s="182"/>
      <c r="E374" s="103"/>
      <c r="F374" s="103"/>
      <c r="G374" s="2"/>
    </row>
    <row r="375" spans="1:7" s="111" customFormat="1" ht="12.75">
      <c r="A375" s="199"/>
      <c r="B375" s="244" t="s">
        <v>551</v>
      </c>
      <c r="C375" s="180"/>
      <c r="D375" s="182"/>
      <c r="E375" s="103"/>
      <c r="F375" s="103"/>
      <c r="G375" s="2"/>
    </row>
    <row r="376" spans="1:7" s="111" customFormat="1">
      <c r="A376" s="199" t="s">
        <v>22</v>
      </c>
      <c r="B376" s="187" t="s">
        <v>215</v>
      </c>
      <c r="C376" s="180">
        <v>0</v>
      </c>
      <c r="D376" s="182">
        <v>0</v>
      </c>
      <c r="E376" s="103"/>
      <c r="F376" s="103"/>
      <c r="G376" s="2"/>
    </row>
    <row r="377" spans="1:7" s="111" customFormat="1">
      <c r="A377" s="199"/>
      <c r="B377" s="187" t="s">
        <v>547</v>
      </c>
      <c r="C377" s="180">
        <v>3</v>
      </c>
      <c r="D377" s="182" t="s">
        <v>6</v>
      </c>
      <c r="E377" s="103"/>
      <c r="F377" s="103"/>
      <c r="G377" s="2"/>
    </row>
    <row r="378" spans="1:7" s="111" customFormat="1">
      <c r="A378" s="199"/>
      <c r="B378" s="187"/>
      <c r="C378" s="180"/>
      <c r="D378" s="182"/>
      <c r="E378" s="103"/>
      <c r="F378" s="103"/>
      <c r="G378" s="2"/>
    </row>
    <row r="379" spans="1:7" s="111" customFormat="1">
      <c r="A379" s="199" t="s">
        <v>23</v>
      </c>
      <c r="B379" s="187" t="s">
        <v>314</v>
      </c>
      <c r="C379" s="180">
        <v>0</v>
      </c>
      <c r="D379" s="182">
        <v>0</v>
      </c>
      <c r="E379" s="103"/>
      <c r="F379" s="103"/>
      <c r="G379" s="2"/>
    </row>
    <row r="380" spans="1:7" s="111" customFormat="1">
      <c r="A380" s="199"/>
      <c r="B380" s="187" t="s">
        <v>550</v>
      </c>
      <c r="C380" s="180">
        <v>3</v>
      </c>
      <c r="D380" s="182" t="s">
        <v>6</v>
      </c>
      <c r="E380" s="103"/>
      <c r="F380" s="103"/>
      <c r="G380" s="2"/>
    </row>
    <row r="381" spans="1:7" s="111" customFormat="1">
      <c r="A381" s="199"/>
      <c r="B381" s="187"/>
      <c r="C381" s="180"/>
      <c r="D381" s="182"/>
      <c r="E381" s="103"/>
      <c r="F381" s="103"/>
      <c r="G381" s="2"/>
    </row>
    <row r="382" spans="1:7" s="111" customFormat="1" ht="12.75">
      <c r="A382" s="199"/>
      <c r="B382" s="244" t="s">
        <v>317</v>
      </c>
      <c r="C382" s="180"/>
      <c r="D382" s="182"/>
      <c r="E382" s="103"/>
      <c r="F382" s="103"/>
      <c r="G382" s="2"/>
    </row>
    <row r="383" spans="1:7" s="111" customFormat="1">
      <c r="A383" s="199" t="s">
        <v>24</v>
      </c>
      <c r="B383" s="187" t="s">
        <v>215</v>
      </c>
      <c r="C383" s="180">
        <v>0</v>
      </c>
      <c r="D383" s="182">
        <v>0</v>
      </c>
      <c r="E383" s="103"/>
      <c r="F383" s="103"/>
      <c r="G383" s="2"/>
    </row>
    <row r="384" spans="1:7" s="111" customFormat="1">
      <c r="A384" s="199"/>
      <c r="B384" s="187" t="s">
        <v>550</v>
      </c>
      <c r="C384" s="180">
        <v>1</v>
      </c>
      <c r="D384" s="182" t="s">
        <v>6</v>
      </c>
      <c r="E384" s="103"/>
      <c r="F384" s="103"/>
      <c r="G384" s="2"/>
    </row>
    <row r="385" spans="1:8" s="111" customFormat="1">
      <c r="A385" s="199"/>
      <c r="B385" s="187"/>
      <c r="C385" s="180"/>
      <c r="D385" s="182"/>
      <c r="E385" s="103"/>
      <c r="F385" s="103"/>
      <c r="G385" s="2"/>
    </row>
    <row r="386" spans="1:8" s="111" customFormat="1" ht="12.75">
      <c r="A386" s="199"/>
      <c r="B386" s="244" t="s">
        <v>552</v>
      </c>
      <c r="C386" s="180"/>
      <c r="D386" s="182"/>
      <c r="E386" s="103"/>
      <c r="F386" s="103"/>
      <c r="G386" s="2"/>
    </row>
    <row r="387" spans="1:8" s="111" customFormat="1">
      <c r="A387" s="199" t="s">
        <v>78</v>
      </c>
      <c r="B387" s="187" t="s">
        <v>218</v>
      </c>
      <c r="C387" s="180">
        <v>0</v>
      </c>
      <c r="D387" s="182">
        <v>0</v>
      </c>
      <c r="E387" s="103"/>
      <c r="F387" s="103"/>
      <c r="G387" s="2"/>
    </row>
    <row r="388" spans="1:8" s="111" customFormat="1">
      <c r="A388" s="199"/>
      <c r="B388" s="187" t="s">
        <v>548</v>
      </c>
      <c r="C388" s="180">
        <v>1</v>
      </c>
      <c r="D388" s="182" t="s">
        <v>6</v>
      </c>
      <c r="E388" s="103"/>
      <c r="F388" s="103"/>
      <c r="G388" s="2"/>
    </row>
    <row r="389" spans="1:8" s="111" customFormat="1">
      <c r="A389" s="199"/>
      <c r="B389" s="187"/>
      <c r="C389" s="180"/>
      <c r="D389" s="182"/>
      <c r="E389" s="103"/>
      <c r="F389" s="103"/>
      <c r="G389" s="2"/>
    </row>
    <row r="390" spans="1:8" s="326" customFormat="1" ht="48">
      <c r="A390" s="405"/>
      <c r="B390" s="406" t="s">
        <v>480</v>
      </c>
      <c r="C390" s="407"/>
      <c r="D390" s="355"/>
      <c r="E390" s="312"/>
      <c r="F390" s="103"/>
      <c r="G390" s="125"/>
    </row>
    <row r="391" spans="1:8" s="326" customFormat="1">
      <c r="A391" s="182" t="s">
        <v>63</v>
      </c>
      <c r="B391" s="408" t="s">
        <v>481</v>
      </c>
      <c r="C391" s="407">
        <v>1</v>
      </c>
      <c r="D391" s="355" t="s">
        <v>28</v>
      </c>
      <c r="E391" s="103"/>
      <c r="F391" s="103"/>
      <c r="G391" s="3"/>
    </row>
    <row r="392" spans="1:8" s="326" customFormat="1">
      <c r="A392" s="182"/>
      <c r="B392" s="408"/>
      <c r="C392" s="407"/>
      <c r="D392" s="355"/>
      <c r="E392" s="103"/>
      <c r="F392" s="103"/>
      <c r="G392" s="3"/>
    </row>
    <row r="393" spans="1:8" s="326" customFormat="1" ht="36">
      <c r="A393" s="355"/>
      <c r="B393" s="409" t="s">
        <v>401</v>
      </c>
      <c r="C393" s="407"/>
      <c r="D393" s="407"/>
      <c r="E393" s="312"/>
      <c r="F393" s="103"/>
      <c r="G393" s="125"/>
    </row>
    <row r="394" spans="1:8" s="327" customFormat="1">
      <c r="A394" s="405" t="s">
        <v>64</v>
      </c>
      <c r="B394" s="222" t="s">
        <v>482</v>
      </c>
      <c r="C394" s="407">
        <v>1</v>
      </c>
      <c r="D394" s="355" t="s">
        <v>28</v>
      </c>
      <c r="E394" s="312"/>
      <c r="F394" s="103"/>
      <c r="G394" s="125"/>
    </row>
    <row r="395" spans="1:8" s="111" customFormat="1">
      <c r="A395" s="230"/>
      <c r="B395" s="410"/>
      <c r="C395" s="411"/>
      <c r="D395" s="365"/>
      <c r="E395" s="106"/>
      <c r="F395" s="106"/>
      <c r="G395" s="118"/>
      <c r="H395" s="120"/>
    </row>
    <row r="396" spans="1:8" s="111" customFormat="1">
      <c r="A396" s="202"/>
      <c r="B396" s="368"/>
      <c r="C396" s="195"/>
      <c r="D396" s="202"/>
      <c r="E396" s="109"/>
      <c r="F396" s="109"/>
      <c r="G396" s="110"/>
    </row>
    <row r="397" spans="1:8" s="94" customFormat="1">
      <c r="A397" s="174" t="s">
        <v>142</v>
      </c>
      <c r="B397" s="377" t="s">
        <v>74</v>
      </c>
      <c r="C397" s="248"/>
      <c r="D397" s="248"/>
      <c r="E397" s="306"/>
      <c r="F397" s="103"/>
      <c r="G397" s="121"/>
    </row>
    <row r="398" spans="1:8" s="111" customFormat="1" ht="72">
      <c r="A398" s="182"/>
      <c r="B398" s="412" t="s">
        <v>340</v>
      </c>
      <c r="C398" s="180"/>
      <c r="D398" s="182"/>
      <c r="E398" s="306"/>
      <c r="F398" s="103"/>
      <c r="G398" s="121"/>
    </row>
    <row r="399" spans="1:8" s="111" customFormat="1">
      <c r="A399" s="182"/>
      <c r="B399" s="412"/>
      <c r="C399" s="180"/>
      <c r="D399" s="182"/>
      <c r="E399" s="306"/>
      <c r="F399" s="103"/>
      <c r="G399" s="121"/>
    </row>
    <row r="400" spans="1:8" s="111" customFormat="1">
      <c r="A400" s="182"/>
      <c r="B400" s="360"/>
      <c r="C400" s="180"/>
      <c r="D400" s="182"/>
      <c r="E400" s="306"/>
      <c r="F400" s="103"/>
      <c r="G400" s="121"/>
    </row>
    <row r="401" spans="1:7" s="111" customFormat="1">
      <c r="A401" s="182"/>
      <c r="B401" s="361" t="s">
        <v>75</v>
      </c>
      <c r="C401" s="180"/>
      <c r="D401" s="182"/>
      <c r="E401" s="306"/>
      <c r="F401" s="103"/>
      <c r="G401" s="121"/>
    </row>
    <row r="402" spans="1:7" s="111" customFormat="1">
      <c r="A402" s="182" t="s">
        <v>8</v>
      </c>
      <c r="B402" s="188" t="s">
        <v>236</v>
      </c>
      <c r="C402" s="180">
        <v>13</v>
      </c>
      <c r="D402" s="182" t="s">
        <v>67</v>
      </c>
      <c r="E402" s="306"/>
      <c r="F402" s="103"/>
      <c r="G402" s="121"/>
    </row>
    <row r="403" spans="1:7" s="111" customFormat="1">
      <c r="A403" s="182" t="s">
        <v>9</v>
      </c>
      <c r="B403" s="188" t="s">
        <v>130</v>
      </c>
      <c r="C403" s="180">
        <v>6</v>
      </c>
      <c r="D403" s="182" t="s">
        <v>67</v>
      </c>
      <c r="E403" s="306"/>
      <c r="F403" s="103"/>
      <c r="G403" s="121"/>
    </row>
    <row r="404" spans="1:7" s="111" customFormat="1">
      <c r="A404" s="182" t="s">
        <v>10</v>
      </c>
      <c r="B404" s="247" t="s">
        <v>423</v>
      </c>
      <c r="C404" s="180">
        <v>5</v>
      </c>
      <c r="D404" s="182" t="s">
        <v>67</v>
      </c>
      <c r="E404" s="306"/>
      <c r="F404" s="103"/>
      <c r="G404" s="121"/>
    </row>
    <row r="405" spans="1:7" s="111" customFormat="1">
      <c r="A405" s="182" t="s">
        <v>11</v>
      </c>
      <c r="B405" s="413" t="s">
        <v>368</v>
      </c>
      <c r="C405" s="180">
        <v>38</v>
      </c>
      <c r="D405" s="182" t="s">
        <v>67</v>
      </c>
      <c r="E405" s="306"/>
      <c r="F405" s="103"/>
      <c r="G405" s="121"/>
    </row>
    <row r="406" spans="1:7" s="111" customFormat="1" ht="12.75" customHeight="1">
      <c r="A406" s="182" t="s">
        <v>12</v>
      </c>
      <c r="B406" s="413" t="s">
        <v>498</v>
      </c>
      <c r="C406" s="180">
        <v>1</v>
      </c>
      <c r="D406" s="182" t="s">
        <v>67</v>
      </c>
      <c r="E406" s="306"/>
      <c r="F406" s="103"/>
      <c r="G406" s="121"/>
    </row>
    <row r="407" spans="1:7" s="111" customFormat="1">
      <c r="A407" s="182" t="s">
        <v>15</v>
      </c>
      <c r="B407" s="413" t="s">
        <v>229</v>
      </c>
      <c r="C407" s="180">
        <v>7</v>
      </c>
      <c r="D407" s="182" t="s">
        <v>67</v>
      </c>
      <c r="E407" s="306"/>
      <c r="F407" s="103"/>
      <c r="G407" s="121"/>
    </row>
    <row r="408" spans="1:7" s="111" customFormat="1">
      <c r="A408" s="182" t="s">
        <v>61</v>
      </c>
      <c r="B408" s="413" t="s">
        <v>228</v>
      </c>
      <c r="C408" s="248">
        <v>19</v>
      </c>
      <c r="D408" s="248" t="s">
        <v>67</v>
      </c>
      <c r="E408" s="306"/>
      <c r="F408" s="103"/>
      <c r="G408" s="121"/>
    </row>
    <row r="409" spans="1:7" s="111" customFormat="1" ht="24">
      <c r="A409" s="182" t="s">
        <v>16</v>
      </c>
      <c r="B409" s="188" t="s">
        <v>316</v>
      </c>
      <c r="C409" s="248">
        <v>2</v>
      </c>
      <c r="D409" s="248" t="s">
        <v>67</v>
      </c>
      <c r="E409" s="306"/>
      <c r="F409" s="103"/>
      <c r="G409" s="121"/>
    </row>
    <row r="410" spans="1:7" s="111" customFormat="1">
      <c r="A410" s="232" t="s">
        <v>17</v>
      </c>
      <c r="B410" s="413" t="s">
        <v>230</v>
      </c>
      <c r="C410" s="248">
        <v>6</v>
      </c>
      <c r="D410" s="248" t="s">
        <v>67</v>
      </c>
      <c r="E410" s="306"/>
      <c r="F410" s="103"/>
      <c r="G410" s="121"/>
    </row>
    <row r="411" spans="1:7" s="111" customFormat="1">
      <c r="A411" s="182" t="s">
        <v>18</v>
      </c>
      <c r="B411" s="188" t="s">
        <v>235</v>
      </c>
      <c r="C411" s="248">
        <v>19</v>
      </c>
      <c r="D411" s="248" t="s">
        <v>67</v>
      </c>
      <c r="E411" s="306"/>
      <c r="F411" s="103"/>
      <c r="G411" s="121"/>
    </row>
    <row r="412" spans="1:7" s="111" customFormat="1">
      <c r="A412" s="182" t="s">
        <v>5</v>
      </c>
      <c r="B412" s="413" t="s">
        <v>231</v>
      </c>
      <c r="C412" s="248">
        <v>2</v>
      </c>
      <c r="D412" s="235" t="s">
        <v>67</v>
      </c>
      <c r="E412" s="306"/>
      <c r="F412" s="103"/>
      <c r="G412" s="121"/>
    </row>
    <row r="413" spans="1:7" s="111" customFormat="1">
      <c r="A413" s="232" t="s">
        <v>19</v>
      </c>
      <c r="B413" s="413" t="s">
        <v>232</v>
      </c>
      <c r="C413" s="248">
        <v>2</v>
      </c>
      <c r="D413" s="235" t="s">
        <v>67</v>
      </c>
      <c r="E413" s="306"/>
      <c r="F413" s="103"/>
      <c r="G413" s="121"/>
    </row>
    <row r="414" spans="1:7" s="111" customFormat="1">
      <c r="A414" s="182" t="s">
        <v>20</v>
      </c>
      <c r="B414" s="413" t="s">
        <v>233</v>
      </c>
      <c r="C414" s="248">
        <v>5</v>
      </c>
      <c r="D414" s="235" t="s">
        <v>67</v>
      </c>
      <c r="E414" s="306"/>
      <c r="F414" s="103"/>
      <c r="G414" s="121"/>
    </row>
    <row r="415" spans="1:7" s="111" customFormat="1">
      <c r="A415" s="182" t="s">
        <v>21</v>
      </c>
      <c r="B415" s="413" t="s">
        <v>234</v>
      </c>
      <c r="C415" s="234">
        <v>6</v>
      </c>
      <c r="D415" s="235" t="s">
        <v>67</v>
      </c>
      <c r="E415" s="306"/>
      <c r="F415" s="103"/>
      <c r="G415" s="121"/>
    </row>
    <row r="416" spans="1:7" s="111" customFormat="1">
      <c r="A416" s="232"/>
      <c r="B416" s="413"/>
      <c r="C416" s="234"/>
      <c r="D416" s="235"/>
      <c r="E416" s="7"/>
      <c r="F416" s="7"/>
      <c r="G416" s="1"/>
    </row>
    <row r="417" spans="1:7" s="111" customFormat="1" ht="24">
      <c r="A417" s="232" t="s">
        <v>23</v>
      </c>
      <c r="B417" s="237" t="s">
        <v>529</v>
      </c>
      <c r="C417" s="249" t="s">
        <v>333</v>
      </c>
      <c r="D417" s="248" t="s">
        <v>7</v>
      </c>
      <c r="E417" s="7"/>
      <c r="F417" s="7"/>
      <c r="G417" s="1"/>
    </row>
    <row r="418" spans="1:7" s="111" customFormat="1">
      <c r="A418" s="188"/>
      <c r="B418" s="412"/>
      <c r="C418" s="249"/>
      <c r="D418" s="250"/>
      <c r="E418" s="307"/>
      <c r="F418" s="308"/>
      <c r="G418" s="122"/>
    </row>
    <row r="419" spans="1:7" s="111" customFormat="1" ht="36">
      <c r="A419" s="232" t="s">
        <v>24</v>
      </c>
      <c r="B419" s="412" t="s">
        <v>530</v>
      </c>
      <c r="C419" s="249" t="s">
        <v>333</v>
      </c>
      <c r="D419" s="248" t="s">
        <v>7</v>
      </c>
      <c r="E419" s="307"/>
      <c r="F419" s="308"/>
      <c r="G419" s="122"/>
    </row>
    <row r="420" spans="1:7" s="111" customFormat="1">
      <c r="A420" s="232"/>
      <c r="B420" s="412"/>
      <c r="C420" s="249"/>
      <c r="D420" s="248"/>
      <c r="E420" s="307"/>
      <c r="F420" s="308"/>
      <c r="G420" s="122"/>
    </row>
    <row r="421" spans="1:7" s="111" customFormat="1">
      <c r="A421" s="232"/>
      <c r="B421" s="412"/>
      <c r="C421" s="249"/>
      <c r="D421" s="248"/>
      <c r="E421" s="307"/>
      <c r="F421" s="308"/>
      <c r="G421" s="122"/>
    </row>
    <row r="422" spans="1:7" s="94" customFormat="1">
      <c r="A422" s="174" t="s">
        <v>326</v>
      </c>
      <c r="B422" s="377" t="s">
        <v>84</v>
      </c>
      <c r="C422" s="248"/>
      <c r="D422" s="248"/>
      <c r="E422" s="306"/>
      <c r="F422" s="103"/>
      <c r="G422" s="121"/>
    </row>
    <row r="423" spans="1:7" s="94" customFormat="1" ht="60">
      <c r="A423" s="188"/>
      <c r="B423" s="412" t="s">
        <v>572</v>
      </c>
      <c r="C423" s="248"/>
      <c r="D423" s="248"/>
      <c r="E423" s="306"/>
      <c r="F423" s="103"/>
      <c r="G423" s="2"/>
    </row>
    <row r="424" spans="1:7" s="94" customFormat="1">
      <c r="A424" s="182" t="s">
        <v>8</v>
      </c>
      <c r="B424" s="388" t="s">
        <v>499</v>
      </c>
      <c r="C424" s="248">
        <v>2</v>
      </c>
      <c r="D424" s="248" t="s">
        <v>121</v>
      </c>
      <c r="E424" s="306"/>
      <c r="F424" s="103"/>
      <c r="G424" s="2"/>
    </row>
    <row r="425" spans="1:7" s="94" customFormat="1">
      <c r="A425" s="182" t="s">
        <v>9</v>
      </c>
      <c r="B425" s="388" t="s">
        <v>500</v>
      </c>
      <c r="C425" s="248">
        <v>1</v>
      </c>
      <c r="D425" s="248" t="s">
        <v>121</v>
      </c>
      <c r="E425" s="306"/>
      <c r="F425" s="103"/>
      <c r="G425" s="2"/>
    </row>
    <row r="426" spans="1:7" s="94" customFormat="1">
      <c r="A426" s="182" t="s">
        <v>10</v>
      </c>
      <c r="B426" s="388" t="s">
        <v>501</v>
      </c>
      <c r="C426" s="248">
        <v>1</v>
      </c>
      <c r="D426" s="248" t="s">
        <v>121</v>
      </c>
      <c r="E426" s="306"/>
      <c r="F426" s="103"/>
      <c r="G426" s="2"/>
    </row>
    <row r="427" spans="1:7" s="94" customFormat="1">
      <c r="A427" s="182"/>
      <c r="B427" s="388"/>
      <c r="C427" s="248"/>
      <c r="D427" s="248"/>
      <c r="E427" s="306"/>
      <c r="F427" s="103"/>
      <c r="G427" s="2"/>
    </row>
    <row r="428" spans="1:7" s="94" customFormat="1">
      <c r="A428" s="198"/>
      <c r="B428" s="188"/>
      <c r="C428" s="180"/>
      <c r="D428" s="182"/>
      <c r="E428" s="312"/>
      <c r="F428" s="103"/>
      <c r="G428" s="121"/>
    </row>
    <row r="429" spans="1:7" s="94" customFormat="1">
      <c r="A429" s="174" t="s">
        <v>327</v>
      </c>
      <c r="B429" s="384" t="s">
        <v>110</v>
      </c>
      <c r="C429" s="197"/>
      <c r="D429" s="197"/>
      <c r="E429" s="312"/>
      <c r="F429" s="103"/>
      <c r="G429" s="125"/>
    </row>
    <row r="430" spans="1:7" s="94" customFormat="1" ht="40.5" customHeight="1">
      <c r="A430" s="199"/>
      <c r="B430" s="412" t="s">
        <v>240</v>
      </c>
      <c r="C430" s="249"/>
      <c r="D430" s="248"/>
      <c r="E430" s="306"/>
      <c r="F430" s="103"/>
      <c r="G430" s="126"/>
    </row>
    <row r="431" spans="1:7" s="94" customFormat="1">
      <c r="A431" s="182" t="s">
        <v>8</v>
      </c>
      <c r="B431" s="388" t="s">
        <v>102</v>
      </c>
      <c r="C431" s="248">
        <v>1</v>
      </c>
      <c r="D431" s="248" t="s">
        <v>28</v>
      </c>
      <c r="E431" s="306"/>
      <c r="F431" s="103"/>
      <c r="G431" s="2"/>
    </row>
    <row r="432" spans="1:7" s="94" customFormat="1">
      <c r="A432" s="182" t="s">
        <v>9</v>
      </c>
      <c r="B432" s="388" t="s">
        <v>104</v>
      </c>
      <c r="C432" s="248">
        <v>1</v>
      </c>
      <c r="D432" s="248" t="s">
        <v>28</v>
      </c>
      <c r="E432" s="306"/>
      <c r="F432" s="103"/>
      <c r="G432" s="121"/>
    </row>
    <row r="433" spans="1:8" s="94" customFormat="1">
      <c r="A433" s="182" t="s">
        <v>10</v>
      </c>
      <c r="B433" s="388" t="s">
        <v>103</v>
      </c>
      <c r="C433" s="248">
        <v>1</v>
      </c>
      <c r="D433" s="248" t="s">
        <v>28</v>
      </c>
      <c r="E433" s="306"/>
      <c r="F433" s="103"/>
      <c r="G433" s="121"/>
    </row>
    <row r="434" spans="1:8" s="94" customFormat="1">
      <c r="A434" s="199"/>
      <c r="B434" s="360"/>
      <c r="C434" s="248"/>
      <c r="D434" s="248"/>
      <c r="E434" s="306"/>
      <c r="F434" s="103"/>
      <c r="G434" s="126"/>
    </row>
    <row r="435" spans="1:8" s="94" customFormat="1" ht="41.25" customHeight="1">
      <c r="A435" s="259"/>
      <c r="B435" s="412" t="s">
        <v>239</v>
      </c>
      <c r="C435" s="249"/>
      <c r="D435" s="248"/>
      <c r="E435" s="307"/>
      <c r="F435" s="308"/>
      <c r="G435" s="122"/>
    </row>
    <row r="436" spans="1:8" s="94" customFormat="1">
      <c r="A436" s="182" t="s">
        <v>11</v>
      </c>
      <c r="B436" s="388" t="s">
        <v>113</v>
      </c>
      <c r="C436" s="248">
        <v>1</v>
      </c>
      <c r="D436" s="248" t="s">
        <v>28</v>
      </c>
      <c r="E436" s="306"/>
      <c r="F436" s="103"/>
      <c r="G436" s="2"/>
    </row>
    <row r="437" spans="1:8" s="94" customFormat="1">
      <c r="A437" s="182"/>
      <c r="B437" s="388"/>
      <c r="C437" s="248"/>
      <c r="D437" s="248"/>
      <c r="E437" s="306"/>
      <c r="F437" s="103"/>
      <c r="G437" s="2"/>
    </row>
    <row r="438" spans="1:8" s="94" customFormat="1">
      <c r="A438" s="230"/>
      <c r="B438" s="414"/>
      <c r="C438" s="254"/>
      <c r="D438" s="254"/>
      <c r="E438" s="315"/>
      <c r="F438" s="106"/>
      <c r="G438" s="107"/>
    </row>
    <row r="439" spans="1:8" s="94" customFormat="1">
      <c r="A439" s="415" t="s">
        <v>328</v>
      </c>
      <c r="B439" s="416" t="s">
        <v>241</v>
      </c>
      <c r="C439" s="417"/>
      <c r="D439" s="418"/>
      <c r="E439" s="307"/>
      <c r="F439" s="308"/>
      <c r="G439" s="122"/>
    </row>
    <row r="440" spans="1:8" s="111" customFormat="1" ht="36">
      <c r="A440" s="260"/>
      <c r="B440" s="237" t="s">
        <v>584</v>
      </c>
      <c r="C440" s="249"/>
      <c r="D440" s="250"/>
      <c r="E440" s="307"/>
      <c r="F440" s="308"/>
      <c r="G440" s="122"/>
      <c r="H440" s="328"/>
    </row>
    <row r="441" spans="1:8" s="111" customFormat="1">
      <c r="A441" s="260"/>
      <c r="B441" s="237"/>
      <c r="C441" s="249"/>
      <c r="D441" s="250"/>
      <c r="E441" s="307"/>
      <c r="F441" s="308"/>
      <c r="G441" s="122"/>
      <c r="H441" s="328"/>
    </row>
    <row r="442" spans="1:8" s="111" customFormat="1">
      <c r="A442" s="262" t="s">
        <v>8</v>
      </c>
      <c r="B442" s="247" t="s">
        <v>585</v>
      </c>
      <c r="C442" s="249">
        <v>1</v>
      </c>
      <c r="D442" s="250" t="s">
        <v>121</v>
      </c>
      <c r="E442" s="307"/>
      <c r="F442" s="308"/>
      <c r="G442" s="122"/>
      <c r="H442" s="328"/>
    </row>
    <row r="443" spans="1:8" s="111" customFormat="1">
      <c r="A443" s="262" t="s">
        <v>11</v>
      </c>
      <c r="B443" s="247" t="s">
        <v>586</v>
      </c>
      <c r="C443" s="249">
        <v>1</v>
      </c>
      <c r="D443" s="250" t="s">
        <v>121</v>
      </c>
      <c r="E443" s="307"/>
      <c r="F443" s="308"/>
      <c r="G443" s="122"/>
      <c r="H443" s="328"/>
    </row>
    <row r="444" spans="1:8" s="111" customFormat="1">
      <c r="A444" s="262"/>
      <c r="B444" s="247"/>
      <c r="C444" s="249"/>
      <c r="D444" s="250"/>
      <c r="E444" s="307"/>
      <c r="F444" s="308"/>
      <c r="G444" s="122"/>
      <c r="H444" s="328"/>
    </row>
    <row r="445" spans="1:8" s="111" customFormat="1">
      <c r="A445" s="174" t="s">
        <v>329</v>
      </c>
      <c r="B445" s="377" t="s">
        <v>44</v>
      </c>
      <c r="C445" s="248"/>
      <c r="D445" s="248"/>
      <c r="E445" s="306"/>
      <c r="F445" s="103"/>
      <c r="G445" s="126"/>
      <c r="H445" s="328"/>
    </row>
    <row r="446" spans="1:8" s="111" customFormat="1" ht="48">
      <c r="A446" s="182"/>
      <c r="B446" s="412" t="s">
        <v>242</v>
      </c>
      <c r="C446" s="248"/>
      <c r="D446" s="248"/>
      <c r="E446" s="306"/>
      <c r="F446" s="103"/>
      <c r="G446" s="2"/>
      <c r="H446" s="328"/>
    </row>
    <row r="447" spans="1:8" s="111" customFormat="1">
      <c r="A447" s="182"/>
      <c r="B447" s="412"/>
      <c r="C447" s="248"/>
      <c r="D447" s="248"/>
      <c r="E447" s="306"/>
      <c r="F447" s="103"/>
      <c r="G447" s="2"/>
      <c r="H447" s="328"/>
    </row>
    <row r="448" spans="1:8" s="111" customFormat="1">
      <c r="A448" s="378" t="s">
        <v>126</v>
      </c>
      <c r="B448" s="419" t="s">
        <v>127</v>
      </c>
      <c r="C448" s="180"/>
      <c r="D448" s="182"/>
      <c r="E448" s="306"/>
      <c r="F448" s="103"/>
      <c r="G448" s="2"/>
      <c r="H448" s="328"/>
    </row>
    <row r="449" spans="1:8" s="127" customFormat="1">
      <c r="A449" s="182" t="s">
        <v>8</v>
      </c>
      <c r="B449" s="388" t="s">
        <v>128</v>
      </c>
      <c r="C449" s="248">
        <v>4</v>
      </c>
      <c r="D449" s="248" t="s">
        <v>67</v>
      </c>
      <c r="E449" s="306"/>
      <c r="F449" s="103"/>
      <c r="G449" s="121"/>
    </row>
    <row r="450" spans="1:8" s="111" customFormat="1">
      <c r="A450" s="182" t="s">
        <v>9</v>
      </c>
      <c r="B450" s="413" t="s">
        <v>184</v>
      </c>
      <c r="C450" s="248">
        <v>12</v>
      </c>
      <c r="D450" s="248" t="s">
        <v>67</v>
      </c>
      <c r="E450" s="306"/>
      <c r="F450" s="103"/>
      <c r="G450" s="2"/>
      <c r="H450" s="328"/>
    </row>
    <row r="451" spans="1:8" s="111" customFormat="1">
      <c r="A451" s="182" t="s">
        <v>10</v>
      </c>
      <c r="B451" s="413" t="s">
        <v>185</v>
      </c>
      <c r="C451" s="248">
        <v>4</v>
      </c>
      <c r="D451" s="248" t="s">
        <v>67</v>
      </c>
      <c r="E451" s="306"/>
      <c r="F451" s="103"/>
      <c r="G451" s="2"/>
      <c r="H451" s="328"/>
    </row>
    <row r="452" spans="1:8" s="111" customFormat="1">
      <c r="A452" s="182" t="s">
        <v>11</v>
      </c>
      <c r="B452" s="388" t="s">
        <v>318</v>
      </c>
      <c r="C452" s="248">
        <v>3</v>
      </c>
      <c r="D452" s="248" t="s">
        <v>67</v>
      </c>
      <c r="E452" s="306"/>
      <c r="F452" s="103"/>
      <c r="G452" s="2"/>
      <c r="H452" s="328"/>
    </row>
    <row r="453" spans="1:8" s="111" customFormat="1">
      <c r="A453" s="420" t="s">
        <v>12</v>
      </c>
      <c r="B453" s="388" t="s">
        <v>188</v>
      </c>
      <c r="C453" s="248">
        <v>1</v>
      </c>
      <c r="D453" s="248" t="s">
        <v>67</v>
      </c>
      <c r="E453" s="306"/>
      <c r="F453" s="103"/>
      <c r="G453" s="2"/>
      <c r="H453" s="328"/>
    </row>
    <row r="454" spans="1:8" s="111" customFormat="1">
      <c r="A454" s="182" t="s">
        <v>13</v>
      </c>
      <c r="B454" s="421" t="s">
        <v>205</v>
      </c>
      <c r="C454" s="422">
        <v>4</v>
      </c>
      <c r="D454" s="420" t="s">
        <v>67</v>
      </c>
      <c r="E454" s="313"/>
      <c r="F454" s="314"/>
      <c r="G454" s="128"/>
      <c r="H454" s="328"/>
    </row>
    <row r="455" spans="1:8" s="111" customFormat="1">
      <c r="A455" s="182" t="s">
        <v>14</v>
      </c>
      <c r="B455" s="413" t="s">
        <v>243</v>
      </c>
      <c r="C455" s="248">
        <v>4</v>
      </c>
      <c r="D455" s="248" t="s">
        <v>67</v>
      </c>
      <c r="E455" s="313"/>
      <c r="F455" s="314"/>
      <c r="G455" s="128"/>
      <c r="H455" s="328"/>
    </row>
    <row r="456" spans="1:8" s="111" customFormat="1">
      <c r="A456" s="182" t="s">
        <v>15</v>
      </c>
      <c r="B456" s="388" t="s">
        <v>129</v>
      </c>
      <c r="C456" s="248">
        <v>4</v>
      </c>
      <c r="D456" s="248" t="s">
        <v>67</v>
      </c>
      <c r="E456" s="306"/>
      <c r="F456" s="103"/>
      <c r="G456" s="2"/>
      <c r="H456" s="328"/>
    </row>
    <row r="457" spans="1:8" s="111" customFormat="1">
      <c r="A457" s="182" t="s">
        <v>61</v>
      </c>
      <c r="B457" s="388" t="s">
        <v>183</v>
      </c>
      <c r="C457" s="248">
        <v>4</v>
      </c>
      <c r="D457" s="248" t="s">
        <v>67</v>
      </c>
      <c r="E457" s="306"/>
      <c r="F457" s="103"/>
      <c r="G457" s="2"/>
    </row>
    <row r="458" spans="1:8" s="111" customFormat="1">
      <c r="A458" s="199" t="s">
        <v>16</v>
      </c>
      <c r="B458" s="388" t="s">
        <v>60</v>
      </c>
      <c r="C458" s="248">
        <v>7</v>
      </c>
      <c r="D458" s="248" t="s">
        <v>67</v>
      </c>
      <c r="E458" s="306"/>
      <c r="F458" s="103"/>
      <c r="G458" s="2"/>
    </row>
    <row r="459" spans="1:8" s="111" customFormat="1">
      <c r="A459" s="182"/>
      <c r="B459" s="388"/>
      <c r="C459" s="248"/>
      <c r="D459" s="248"/>
      <c r="E459" s="306"/>
      <c r="F459" s="103"/>
      <c r="G459" s="2"/>
    </row>
    <row r="460" spans="1:8" s="111" customFormat="1" ht="48">
      <c r="A460" s="199" t="s">
        <v>17</v>
      </c>
      <c r="B460" s="184" t="s">
        <v>527</v>
      </c>
      <c r="C460" s="248">
        <v>1</v>
      </c>
      <c r="D460" s="248" t="s">
        <v>28</v>
      </c>
      <c r="E460" s="306"/>
      <c r="F460" s="103"/>
      <c r="G460" s="2"/>
    </row>
    <row r="461" spans="1:8" s="111" customFormat="1">
      <c r="A461" s="199"/>
      <c r="B461" s="204"/>
      <c r="C461" s="248"/>
      <c r="D461" s="248"/>
      <c r="E461" s="306"/>
      <c r="F461" s="103"/>
      <c r="G461" s="2"/>
    </row>
    <row r="462" spans="1:8" s="111" customFormat="1" ht="36">
      <c r="A462" s="199" t="s">
        <v>18</v>
      </c>
      <c r="B462" s="184" t="s">
        <v>571</v>
      </c>
      <c r="C462" s="248">
        <v>1</v>
      </c>
      <c r="D462" s="248" t="s">
        <v>28</v>
      </c>
      <c r="E462" s="306"/>
      <c r="F462" s="103"/>
      <c r="G462" s="2"/>
    </row>
    <row r="463" spans="1:8" s="111" customFormat="1">
      <c r="A463" s="199"/>
      <c r="B463" s="184"/>
      <c r="C463" s="248"/>
      <c r="D463" s="248"/>
      <c r="E463" s="306"/>
      <c r="F463" s="103"/>
      <c r="G463" s="2"/>
    </row>
    <row r="464" spans="1:8" s="111" customFormat="1">
      <c r="A464" s="353" t="s">
        <v>330</v>
      </c>
      <c r="B464" s="423" t="s">
        <v>507</v>
      </c>
      <c r="C464" s="248"/>
      <c r="D464" s="248"/>
      <c r="E464" s="306"/>
      <c r="F464" s="103"/>
      <c r="G464" s="2"/>
    </row>
    <row r="465" spans="1:8" s="105" customFormat="1" ht="24">
      <c r="A465" s="424"/>
      <c r="B465" s="425" t="s">
        <v>512</v>
      </c>
      <c r="C465" s="197"/>
      <c r="D465" s="198"/>
      <c r="E465" s="305"/>
      <c r="F465" s="103"/>
      <c r="G465" s="102"/>
    </row>
    <row r="466" spans="1:8" s="111" customFormat="1" ht="36">
      <c r="A466" s="355"/>
      <c r="B466" s="360" t="s">
        <v>404</v>
      </c>
      <c r="C466" s="180"/>
      <c r="D466" s="182"/>
      <c r="E466" s="103"/>
      <c r="F466" s="103"/>
      <c r="G466" s="3"/>
    </row>
    <row r="467" spans="1:8" s="111" customFormat="1">
      <c r="A467" s="355"/>
      <c r="B467" s="360"/>
      <c r="C467" s="180"/>
      <c r="D467" s="182"/>
      <c r="E467" s="103"/>
      <c r="F467" s="103"/>
      <c r="G467" s="3"/>
    </row>
    <row r="468" spans="1:8" s="111" customFormat="1">
      <c r="A468" s="363"/>
      <c r="B468" s="426" t="s">
        <v>565</v>
      </c>
      <c r="C468" s="180"/>
      <c r="D468" s="207"/>
      <c r="E468" s="103"/>
      <c r="F468" s="103"/>
      <c r="G468" s="2"/>
    </row>
    <row r="469" spans="1:8" s="105" customFormat="1">
      <c r="A469" s="363" t="s">
        <v>8</v>
      </c>
      <c r="B469" s="364" t="s">
        <v>508</v>
      </c>
      <c r="C469" s="180">
        <f>(0.25*0.2*1.2)</f>
        <v>0.06</v>
      </c>
      <c r="D469" s="207" t="s">
        <v>534</v>
      </c>
      <c r="E469" s="103"/>
      <c r="F469" s="103"/>
      <c r="G469" s="2"/>
      <c r="H469" s="111"/>
    </row>
    <row r="470" spans="1:8" s="105" customFormat="1">
      <c r="A470" s="363" t="s">
        <v>9</v>
      </c>
      <c r="B470" s="364" t="s">
        <v>509</v>
      </c>
      <c r="C470" s="180">
        <f>(0.2*0.2*1.2)*10</f>
        <v>0.48000000000000009</v>
      </c>
      <c r="D470" s="207" t="s">
        <v>534</v>
      </c>
      <c r="E470" s="103"/>
      <c r="F470" s="103"/>
      <c r="G470" s="2"/>
      <c r="H470" s="111"/>
    </row>
    <row r="471" spans="1:8" s="105" customFormat="1">
      <c r="A471" s="363"/>
      <c r="B471" s="426" t="s">
        <v>566</v>
      </c>
      <c r="C471" s="180"/>
      <c r="D471" s="207"/>
      <c r="E471" s="103"/>
      <c r="F471" s="103"/>
      <c r="G471" s="2"/>
      <c r="H471" s="111"/>
    </row>
    <row r="472" spans="1:8" s="105" customFormat="1">
      <c r="A472" s="363" t="s">
        <v>10</v>
      </c>
      <c r="B472" s="364" t="s">
        <v>510</v>
      </c>
      <c r="C472" s="180">
        <f>0.25*0.2*1.55</f>
        <v>7.7500000000000013E-2</v>
      </c>
      <c r="D472" s="207" t="s">
        <v>534</v>
      </c>
      <c r="E472" s="103"/>
      <c r="F472" s="103"/>
      <c r="G472" s="2"/>
      <c r="H472" s="111"/>
    </row>
    <row r="473" spans="1:8" s="105" customFormat="1">
      <c r="A473" s="363" t="s">
        <v>11</v>
      </c>
      <c r="B473" s="364" t="s">
        <v>511</v>
      </c>
      <c r="C473" s="180">
        <f>0.2*0.2*1.55</f>
        <v>6.2000000000000013E-2</v>
      </c>
      <c r="D473" s="207" t="s">
        <v>534</v>
      </c>
      <c r="E473" s="103"/>
      <c r="F473" s="103"/>
      <c r="G473" s="2"/>
      <c r="H473" s="111"/>
    </row>
    <row r="474" spans="1:8" s="105" customFormat="1">
      <c r="A474" s="363"/>
      <c r="B474" s="426" t="s">
        <v>514</v>
      </c>
      <c r="C474" s="180"/>
      <c r="D474" s="207"/>
      <c r="E474" s="103"/>
      <c r="F474" s="103"/>
      <c r="G474" s="2"/>
      <c r="H474" s="111"/>
    </row>
    <row r="475" spans="1:8" s="105" customFormat="1">
      <c r="A475" s="363" t="s">
        <v>12</v>
      </c>
      <c r="B475" s="364" t="s">
        <v>463</v>
      </c>
      <c r="C475" s="180">
        <f>0.2*0.3*17</f>
        <v>1.02</v>
      </c>
      <c r="D475" s="207" t="s">
        <v>534</v>
      </c>
      <c r="E475" s="103"/>
      <c r="F475" s="103"/>
      <c r="G475" s="2"/>
      <c r="H475" s="111"/>
    </row>
    <row r="476" spans="1:8" s="105" customFormat="1">
      <c r="A476" s="363"/>
      <c r="B476" s="364"/>
      <c r="C476" s="180"/>
      <c r="D476" s="207"/>
      <c r="E476" s="103"/>
      <c r="F476" s="103"/>
      <c r="G476" s="2"/>
      <c r="H476" s="111"/>
    </row>
    <row r="477" spans="1:8" s="111" customFormat="1" ht="24">
      <c r="A477" s="355" t="s">
        <v>1</v>
      </c>
      <c r="B477" s="360" t="s">
        <v>153</v>
      </c>
      <c r="C477" s="180"/>
      <c r="D477" s="182"/>
      <c r="E477" s="103"/>
      <c r="F477" s="103"/>
      <c r="G477" s="3"/>
    </row>
    <row r="478" spans="1:8" s="111" customFormat="1">
      <c r="A478" s="363"/>
      <c r="B478" s="426" t="s">
        <v>565</v>
      </c>
      <c r="C478" s="180"/>
      <c r="D478" s="207"/>
      <c r="E478" s="103"/>
      <c r="F478" s="103"/>
      <c r="G478" s="2"/>
    </row>
    <row r="479" spans="1:8" s="105" customFormat="1">
      <c r="A479" s="363" t="s">
        <v>13</v>
      </c>
      <c r="B479" s="364" t="s">
        <v>508</v>
      </c>
      <c r="C479" s="180">
        <f>(0.25*1.2*2)+(0.2*1.2*2)</f>
        <v>1.08</v>
      </c>
      <c r="D479" s="207" t="s">
        <v>532</v>
      </c>
      <c r="E479" s="103"/>
      <c r="F479" s="103"/>
      <c r="G479" s="2"/>
      <c r="H479" s="111"/>
    </row>
    <row r="480" spans="1:8" s="105" customFormat="1">
      <c r="A480" s="363" t="s">
        <v>14</v>
      </c>
      <c r="B480" s="364" t="s">
        <v>509</v>
      </c>
      <c r="C480" s="180">
        <f>(0.2*1.2*4)*10</f>
        <v>9.6</v>
      </c>
      <c r="D480" s="207" t="s">
        <v>532</v>
      </c>
      <c r="E480" s="103"/>
      <c r="F480" s="103"/>
      <c r="G480" s="2"/>
      <c r="H480" s="111"/>
    </row>
    <row r="481" spans="1:8" s="105" customFormat="1">
      <c r="A481" s="363"/>
      <c r="B481" s="426" t="s">
        <v>566</v>
      </c>
      <c r="C481" s="180"/>
      <c r="D481" s="207"/>
      <c r="E481" s="103"/>
      <c r="F481" s="103"/>
      <c r="G481" s="2"/>
      <c r="H481" s="111"/>
    </row>
    <row r="482" spans="1:8" s="105" customFormat="1">
      <c r="A482" s="363" t="s">
        <v>15</v>
      </c>
      <c r="B482" s="364" t="s">
        <v>510</v>
      </c>
      <c r="C482" s="180">
        <f>(0.25*1.55*2)+(0.2*1.55*2)</f>
        <v>1.395</v>
      </c>
      <c r="D482" s="207" t="s">
        <v>532</v>
      </c>
      <c r="E482" s="103"/>
      <c r="F482" s="103"/>
      <c r="G482" s="2"/>
      <c r="H482" s="111"/>
    </row>
    <row r="483" spans="1:8" s="105" customFormat="1">
      <c r="A483" s="363" t="s">
        <v>61</v>
      </c>
      <c r="B483" s="364" t="s">
        <v>511</v>
      </c>
      <c r="C483" s="180">
        <f>(0.2*1.55*4)</f>
        <v>1.2400000000000002</v>
      </c>
      <c r="D483" s="207" t="s">
        <v>532</v>
      </c>
      <c r="E483" s="103"/>
      <c r="F483" s="103"/>
      <c r="G483" s="2"/>
      <c r="H483" s="111"/>
    </row>
    <row r="484" spans="1:8" s="105" customFormat="1">
      <c r="A484" s="363"/>
      <c r="B484" s="426" t="s">
        <v>514</v>
      </c>
      <c r="C484" s="180"/>
      <c r="D484" s="207"/>
      <c r="E484" s="103"/>
      <c r="F484" s="103"/>
      <c r="G484" s="2"/>
      <c r="H484" s="111"/>
    </row>
    <row r="485" spans="1:8" s="105" customFormat="1">
      <c r="A485" s="370" t="s">
        <v>16</v>
      </c>
      <c r="B485" s="371" t="s">
        <v>463</v>
      </c>
      <c r="C485" s="191">
        <f>(0.3*17*2)+(0.2*17)</f>
        <v>13.6</v>
      </c>
      <c r="D485" s="427" t="s">
        <v>532</v>
      </c>
      <c r="E485" s="106"/>
      <c r="F485" s="106"/>
      <c r="G485" s="107"/>
      <c r="H485" s="111"/>
    </row>
    <row r="486" spans="1:8" s="105" customFormat="1">
      <c r="A486" s="428"/>
      <c r="B486" s="429"/>
      <c r="C486" s="195"/>
      <c r="D486" s="430"/>
      <c r="E486" s="109"/>
      <c r="F486" s="109"/>
      <c r="G486" s="110"/>
      <c r="H486" s="111"/>
    </row>
    <row r="487" spans="1:8" s="111" customFormat="1" ht="24">
      <c r="A487" s="355" t="s">
        <v>1</v>
      </c>
      <c r="B487" s="369" t="s">
        <v>30</v>
      </c>
      <c r="C487" s="180"/>
      <c r="D487" s="182"/>
      <c r="E487" s="103"/>
      <c r="F487" s="103"/>
      <c r="G487" s="3"/>
    </row>
    <row r="488" spans="1:8" s="111" customFormat="1">
      <c r="A488" s="363"/>
      <c r="B488" s="426" t="s">
        <v>565</v>
      </c>
      <c r="C488" s="180"/>
      <c r="D488" s="207"/>
      <c r="E488" s="103"/>
      <c r="F488" s="103"/>
      <c r="G488" s="2"/>
    </row>
    <row r="489" spans="1:8" s="105" customFormat="1">
      <c r="A489" s="363"/>
      <c r="B489" s="364" t="s">
        <v>508</v>
      </c>
      <c r="C489" s="180"/>
      <c r="D489" s="207"/>
      <c r="E489" s="103"/>
      <c r="F489" s="103"/>
      <c r="G489" s="2"/>
      <c r="H489" s="111"/>
    </row>
    <row r="490" spans="1:8" s="111" customFormat="1">
      <c r="A490" s="363" t="s">
        <v>17</v>
      </c>
      <c r="B490" s="364" t="s">
        <v>392</v>
      </c>
      <c r="C490" s="180">
        <f>(1.2*8)*0.888</f>
        <v>8.524799999999999</v>
      </c>
      <c r="D490" s="182" t="s">
        <v>3</v>
      </c>
      <c r="E490" s="103"/>
      <c r="F490" s="103"/>
      <c r="G490" s="2"/>
    </row>
    <row r="491" spans="1:8" s="111" customFormat="1">
      <c r="A491" s="363" t="s">
        <v>18</v>
      </c>
      <c r="B491" s="364" t="s">
        <v>396</v>
      </c>
      <c r="C491" s="180">
        <f>8*0.8*2*0.222</f>
        <v>2.8416000000000001</v>
      </c>
      <c r="D491" s="182" t="s">
        <v>3</v>
      </c>
      <c r="E491" s="103"/>
      <c r="F491" s="103"/>
      <c r="G491" s="2"/>
    </row>
    <row r="492" spans="1:8" s="111" customFormat="1">
      <c r="A492" s="355"/>
      <c r="B492" s="188"/>
      <c r="C492" s="180"/>
      <c r="D492" s="182"/>
      <c r="E492" s="103"/>
      <c r="F492" s="103"/>
      <c r="G492" s="3"/>
    </row>
    <row r="493" spans="1:8" s="105" customFormat="1">
      <c r="A493" s="363"/>
      <c r="B493" s="364" t="s">
        <v>509</v>
      </c>
      <c r="C493" s="180"/>
      <c r="D493" s="207"/>
      <c r="E493" s="103"/>
      <c r="F493" s="103"/>
      <c r="G493" s="2"/>
      <c r="H493" s="111"/>
    </row>
    <row r="494" spans="1:8" s="111" customFormat="1">
      <c r="A494" s="363" t="s">
        <v>5</v>
      </c>
      <c r="B494" s="364" t="s">
        <v>393</v>
      </c>
      <c r="C494" s="180">
        <f>((1.2*4)*10)*0.888</f>
        <v>42.624000000000002</v>
      </c>
      <c r="D494" s="182" t="s">
        <v>3</v>
      </c>
      <c r="E494" s="103"/>
      <c r="F494" s="103"/>
      <c r="G494" s="2"/>
    </row>
    <row r="495" spans="1:8" s="111" customFormat="1">
      <c r="A495" s="363" t="s">
        <v>19</v>
      </c>
      <c r="B495" s="364" t="s">
        <v>396</v>
      </c>
      <c r="C495" s="180">
        <f>80*0.5*2*0.222</f>
        <v>17.760000000000002</v>
      </c>
      <c r="D495" s="182" t="s">
        <v>3</v>
      </c>
      <c r="E495" s="103"/>
      <c r="F495" s="103"/>
      <c r="G495" s="2"/>
    </row>
    <row r="496" spans="1:8" s="111" customFormat="1">
      <c r="A496" s="363"/>
      <c r="B496" s="364"/>
      <c r="C496" s="180"/>
      <c r="D496" s="182"/>
      <c r="E496" s="103"/>
      <c r="F496" s="103"/>
      <c r="G496" s="2"/>
    </row>
    <row r="497" spans="1:8" s="105" customFormat="1">
      <c r="A497" s="363"/>
      <c r="B497" s="426" t="s">
        <v>566</v>
      </c>
      <c r="C497" s="180"/>
      <c r="D497" s="207"/>
      <c r="E497" s="103"/>
      <c r="F497" s="103"/>
      <c r="G497" s="2"/>
      <c r="H497" s="111"/>
    </row>
    <row r="498" spans="1:8" s="105" customFormat="1">
      <c r="A498" s="363"/>
      <c r="B498" s="364" t="s">
        <v>510</v>
      </c>
      <c r="C498" s="180"/>
      <c r="D498" s="207"/>
      <c r="E498" s="103"/>
      <c r="F498" s="103"/>
      <c r="G498" s="2"/>
      <c r="H498" s="111"/>
    </row>
    <row r="499" spans="1:8" s="111" customFormat="1">
      <c r="A499" s="363" t="s">
        <v>20</v>
      </c>
      <c r="B499" s="364" t="s">
        <v>392</v>
      </c>
      <c r="C499" s="180">
        <f>(1.55*8)*0.888</f>
        <v>11.011200000000001</v>
      </c>
      <c r="D499" s="182" t="s">
        <v>3</v>
      </c>
      <c r="E499" s="103"/>
      <c r="F499" s="103"/>
      <c r="G499" s="2"/>
    </row>
    <row r="500" spans="1:8" s="111" customFormat="1">
      <c r="A500" s="363" t="s">
        <v>21</v>
      </c>
      <c r="B500" s="364" t="s">
        <v>396</v>
      </c>
      <c r="C500" s="180">
        <f>10*0.8*2*0.222</f>
        <v>3.552</v>
      </c>
      <c r="D500" s="182" t="s">
        <v>3</v>
      </c>
      <c r="E500" s="103"/>
      <c r="F500" s="103"/>
      <c r="G500" s="2"/>
    </row>
    <row r="501" spans="1:8" s="111" customFormat="1">
      <c r="A501" s="355"/>
      <c r="B501" s="188"/>
      <c r="C501" s="180"/>
      <c r="D501" s="182"/>
      <c r="E501" s="103"/>
      <c r="F501" s="103"/>
      <c r="G501" s="3"/>
    </row>
    <row r="502" spans="1:8" s="105" customFormat="1">
      <c r="A502" s="363"/>
      <c r="B502" s="364" t="s">
        <v>511</v>
      </c>
      <c r="C502" s="180"/>
      <c r="D502" s="207"/>
      <c r="E502" s="103"/>
      <c r="F502" s="103"/>
      <c r="G502" s="2"/>
      <c r="H502" s="111"/>
    </row>
    <row r="503" spans="1:8" s="111" customFormat="1">
      <c r="A503" s="363" t="s">
        <v>22</v>
      </c>
      <c r="B503" s="364" t="s">
        <v>393</v>
      </c>
      <c r="C503" s="180">
        <f>(1.55*4)*0.888</f>
        <v>5.5056000000000003</v>
      </c>
      <c r="D503" s="182" t="s">
        <v>3</v>
      </c>
      <c r="E503" s="103"/>
      <c r="F503" s="103"/>
      <c r="G503" s="2"/>
    </row>
    <row r="504" spans="1:8" s="111" customFormat="1">
      <c r="A504" s="363" t="s">
        <v>23</v>
      </c>
      <c r="B504" s="364" t="s">
        <v>396</v>
      </c>
      <c r="C504" s="180">
        <f>8*0.5*2*0.222</f>
        <v>1.776</v>
      </c>
      <c r="D504" s="182" t="s">
        <v>3</v>
      </c>
      <c r="E504" s="103"/>
      <c r="F504" s="103"/>
      <c r="G504" s="2"/>
    </row>
    <row r="505" spans="1:8" s="111" customFormat="1">
      <c r="A505" s="355"/>
      <c r="B505" s="188"/>
      <c r="C505" s="180"/>
      <c r="D505" s="182"/>
      <c r="E505" s="103"/>
      <c r="F505" s="103"/>
      <c r="G505" s="3"/>
    </row>
    <row r="506" spans="1:8" s="105" customFormat="1">
      <c r="A506" s="363"/>
      <c r="B506" s="426" t="s">
        <v>514</v>
      </c>
      <c r="C506" s="180"/>
      <c r="D506" s="207"/>
      <c r="E506" s="103"/>
      <c r="F506" s="103"/>
      <c r="G506" s="2"/>
      <c r="H506" s="111"/>
    </row>
    <row r="507" spans="1:8" s="105" customFormat="1">
      <c r="A507" s="363"/>
      <c r="B507" s="364" t="s">
        <v>463</v>
      </c>
      <c r="C507" s="180"/>
      <c r="D507" s="207"/>
      <c r="E507" s="103"/>
      <c r="F507" s="103"/>
      <c r="G507" s="2"/>
      <c r="H507" s="111"/>
    </row>
    <row r="508" spans="1:8" s="111" customFormat="1">
      <c r="A508" s="363" t="s">
        <v>24</v>
      </c>
      <c r="B508" s="364" t="s">
        <v>393</v>
      </c>
      <c r="C508" s="180">
        <f>(17*4)*0.888</f>
        <v>60.384</v>
      </c>
      <c r="D508" s="182" t="s">
        <v>3</v>
      </c>
      <c r="E508" s="103"/>
      <c r="F508" s="103"/>
      <c r="G508" s="2"/>
    </row>
    <row r="509" spans="1:8" s="111" customFormat="1">
      <c r="A509" s="363" t="s">
        <v>78</v>
      </c>
      <c r="B509" s="364" t="s">
        <v>396</v>
      </c>
      <c r="C509" s="180">
        <f>144*0.7*0.222</f>
        <v>22.377600000000001</v>
      </c>
      <c r="D509" s="182" t="s">
        <v>3</v>
      </c>
      <c r="E509" s="103"/>
      <c r="F509" s="103"/>
      <c r="G509" s="2"/>
    </row>
    <row r="510" spans="1:8" s="111" customFormat="1">
      <c r="A510" s="199" t="s">
        <v>63</v>
      </c>
      <c r="B510" s="187" t="s">
        <v>27</v>
      </c>
      <c r="C510" s="180">
        <f>C508*0.15</f>
        <v>9.057599999999999</v>
      </c>
      <c r="D510" s="185" t="s">
        <v>3</v>
      </c>
      <c r="E510" s="103"/>
      <c r="F510" s="103"/>
      <c r="G510" s="2"/>
    </row>
    <row r="511" spans="1:8" s="111" customFormat="1">
      <c r="A511" s="363"/>
      <c r="B511" s="364"/>
      <c r="C511" s="180"/>
      <c r="D511" s="182"/>
      <c r="E511" s="103"/>
      <c r="F511" s="103"/>
      <c r="G511" s="2"/>
    </row>
    <row r="512" spans="1:8" s="111" customFormat="1">
      <c r="A512" s="431"/>
      <c r="B512" s="432" t="s">
        <v>506</v>
      </c>
      <c r="C512" s="248"/>
      <c r="D512" s="248"/>
      <c r="E512" s="306"/>
      <c r="F512" s="103"/>
      <c r="G512" s="2"/>
    </row>
    <row r="513" spans="1:7" s="84" customFormat="1" ht="24">
      <c r="A513" s="199"/>
      <c r="B513" s="203" t="s">
        <v>503</v>
      </c>
      <c r="C513" s="433"/>
      <c r="D513" s="199"/>
      <c r="E513" s="329"/>
      <c r="F513" s="329">
        <v>0</v>
      </c>
      <c r="G513" s="5"/>
    </row>
    <row r="514" spans="1:7" s="111" customFormat="1">
      <c r="A514" s="182" t="s">
        <v>64</v>
      </c>
      <c r="B514" s="188" t="s">
        <v>293</v>
      </c>
      <c r="C514" s="216">
        <v>125.22</v>
      </c>
      <c r="D514" s="180" t="s">
        <v>532</v>
      </c>
      <c r="E514" s="103"/>
      <c r="F514" s="103"/>
      <c r="G514" s="2"/>
    </row>
    <row r="515" spans="1:7" s="111" customFormat="1">
      <c r="A515" s="182"/>
      <c r="B515" s="188"/>
      <c r="C515" s="216"/>
      <c r="D515" s="180"/>
      <c r="E515" s="103"/>
      <c r="F515" s="103"/>
      <c r="G515" s="2"/>
    </row>
    <row r="516" spans="1:7" s="111" customFormat="1" ht="36">
      <c r="A516" s="386"/>
      <c r="B516" s="203" t="s">
        <v>451</v>
      </c>
      <c r="C516" s="387"/>
      <c r="D516" s="386"/>
      <c r="E516" s="116"/>
      <c r="F516" s="116">
        <v>0</v>
      </c>
      <c r="G516" s="117"/>
    </row>
    <row r="517" spans="1:7" s="111" customFormat="1" ht="24">
      <c r="A517" s="199" t="s">
        <v>95</v>
      </c>
      <c r="B517" s="388" t="s">
        <v>504</v>
      </c>
      <c r="C517" s="180">
        <f>(C514*2)</f>
        <v>250.44</v>
      </c>
      <c r="D517" s="180" t="s">
        <v>532</v>
      </c>
      <c r="E517" s="103"/>
      <c r="F517" s="103">
        <v>0</v>
      </c>
      <c r="G517" s="2"/>
    </row>
    <row r="518" spans="1:7" s="111" customFormat="1">
      <c r="A518" s="199"/>
      <c r="B518" s="388"/>
      <c r="C518" s="180"/>
      <c r="D518" s="180"/>
      <c r="E518" s="103"/>
      <c r="F518" s="103"/>
      <c r="G518" s="2"/>
    </row>
    <row r="519" spans="1:7" s="111" customFormat="1" ht="60">
      <c r="A519" s="182"/>
      <c r="B519" s="203" t="s">
        <v>515</v>
      </c>
      <c r="C519" s="180"/>
      <c r="D519" s="182"/>
      <c r="E519" s="103"/>
      <c r="F519" s="103">
        <v>0</v>
      </c>
      <c r="G519" s="2"/>
    </row>
    <row r="520" spans="1:7" s="105" customFormat="1">
      <c r="A520" s="182" t="s">
        <v>96</v>
      </c>
      <c r="B520" s="188" t="s">
        <v>293</v>
      </c>
      <c r="C520" s="180">
        <f>C517</f>
        <v>250.44</v>
      </c>
      <c r="D520" s="182" t="s">
        <v>532</v>
      </c>
      <c r="E520" s="103"/>
      <c r="F520" s="103">
        <v>0</v>
      </c>
      <c r="G520" s="2"/>
    </row>
    <row r="521" spans="1:7" s="105" customFormat="1">
      <c r="A521" s="182"/>
      <c r="B521" s="188"/>
      <c r="C521" s="180"/>
      <c r="D521" s="182"/>
      <c r="E521" s="103"/>
      <c r="F521" s="103"/>
      <c r="G521" s="2"/>
    </row>
    <row r="522" spans="1:7" s="111" customFormat="1">
      <c r="A522" s="434"/>
      <c r="B522" s="425" t="s">
        <v>505</v>
      </c>
      <c r="C522" s="180"/>
      <c r="D522" s="180"/>
      <c r="E522" s="103"/>
      <c r="F522" s="103"/>
      <c r="G522" s="2"/>
    </row>
    <row r="523" spans="1:7" s="111" customFormat="1" ht="36">
      <c r="A523" s="405"/>
      <c r="B523" s="360" t="s">
        <v>517</v>
      </c>
      <c r="C523" s="197"/>
      <c r="D523" s="198"/>
      <c r="E523" s="312"/>
      <c r="F523" s="103"/>
      <c r="G523" s="330"/>
    </row>
    <row r="524" spans="1:7" s="111" customFormat="1">
      <c r="A524" s="355" t="s">
        <v>169</v>
      </c>
      <c r="B524" s="388" t="s">
        <v>123</v>
      </c>
      <c r="C524" s="248">
        <v>68.099999999999994</v>
      </c>
      <c r="D524" s="248" t="s">
        <v>4</v>
      </c>
      <c r="E524" s="306"/>
      <c r="F524" s="103"/>
      <c r="G524" s="2"/>
    </row>
    <row r="525" spans="1:7" s="111" customFormat="1">
      <c r="A525" s="355" t="s">
        <v>189</v>
      </c>
      <c r="B525" s="388" t="s">
        <v>124</v>
      </c>
      <c r="C525" s="248">
        <v>31.5</v>
      </c>
      <c r="D525" s="248" t="s">
        <v>4</v>
      </c>
      <c r="E525" s="306"/>
      <c r="F525" s="103"/>
      <c r="G525" s="2"/>
    </row>
    <row r="526" spans="1:7" s="111" customFormat="1">
      <c r="A526" s="355"/>
      <c r="B526" s="388"/>
      <c r="C526" s="248"/>
      <c r="D526" s="248"/>
      <c r="E526" s="306"/>
      <c r="F526" s="103"/>
      <c r="G526" s="2"/>
    </row>
    <row r="527" spans="1:7" s="111" customFormat="1" ht="48">
      <c r="A527" s="363" t="s">
        <v>190</v>
      </c>
      <c r="B527" s="203" t="s">
        <v>108</v>
      </c>
      <c r="C527" s="248">
        <v>402</v>
      </c>
      <c r="D527" s="248" t="s">
        <v>4</v>
      </c>
      <c r="E527" s="306"/>
      <c r="F527" s="103"/>
      <c r="G527" s="2"/>
    </row>
    <row r="528" spans="1:7" s="111" customFormat="1">
      <c r="A528" s="363"/>
      <c r="B528" s="203"/>
      <c r="C528" s="248"/>
      <c r="D528" s="248"/>
      <c r="E528" s="306"/>
      <c r="F528" s="103"/>
      <c r="G528" s="2"/>
    </row>
    <row r="529" spans="1:7" s="111" customFormat="1" ht="24">
      <c r="A529" s="435" t="s">
        <v>191</v>
      </c>
      <c r="B529" s="360" t="s">
        <v>516</v>
      </c>
      <c r="C529" s="197">
        <v>1</v>
      </c>
      <c r="D529" s="198" t="s">
        <v>28</v>
      </c>
      <c r="E529" s="312"/>
      <c r="F529" s="103"/>
      <c r="G529" s="330"/>
    </row>
    <row r="530" spans="1:7" s="111" customFormat="1">
      <c r="A530" s="355"/>
      <c r="B530" s="388"/>
      <c r="C530" s="248"/>
      <c r="D530" s="248"/>
      <c r="E530" s="306"/>
      <c r="F530" s="103"/>
      <c r="G530" s="2"/>
    </row>
    <row r="531" spans="1:7" s="111" customFormat="1">
      <c r="A531" s="365"/>
      <c r="B531" s="414"/>
      <c r="C531" s="254"/>
      <c r="D531" s="254"/>
      <c r="E531" s="315"/>
      <c r="F531" s="106"/>
      <c r="G531" s="107"/>
    </row>
    <row r="532" spans="1:7" s="111" customFormat="1">
      <c r="A532" s="367"/>
      <c r="B532" s="392"/>
      <c r="C532" s="256"/>
      <c r="D532" s="256"/>
      <c r="E532" s="311"/>
      <c r="F532" s="109"/>
      <c r="G532" s="110"/>
    </row>
    <row r="533" spans="1:7">
      <c r="A533" s="355"/>
      <c r="B533" s="436" t="s">
        <v>99</v>
      </c>
      <c r="C533" s="248"/>
      <c r="D533" s="248"/>
      <c r="E533" s="306"/>
      <c r="F533" s="103"/>
      <c r="G533" s="2"/>
    </row>
    <row r="534" spans="1:7" s="94" customFormat="1" ht="36">
      <c r="A534" s="355"/>
      <c r="B534" s="203" t="s">
        <v>513</v>
      </c>
      <c r="C534" s="248"/>
      <c r="D534" s="248"/>
      <c r="E534" s="306"/>
      <c r="F534" s="103"/>
      <c r="G534" s="2"/>
    </row>
    <row r="535" spans="1:7" s="94" customFormat="1">
      <c r="A535" s="355"/>
      <c r="B535" s="369"/>
      <c r="C535" s="248"/>
      <c r="D535" s="248"/>
      <c r="E535" s="306"/>
      <c r="F535" s="103"/>
      <c r="G535" s="2"/>
    </row>
    <row r="536" spans="1:7" s="94" customFormat="1">
      <c r="A536" s="355" t="s">
        <v>192</v>
      </c>
      <c r="B536" s="437" t="s">
        <v>77</v>
      </c>
      <c r="C536" s="248">
        <v>279.99</v>
      </c>
      <c r="D536" s="248" t="s">
        <v>532</v>
      </c>
      <c r="E536" s="306"/>
      <c r="F536" s="103"/>
      <c r="G536" s="2"/>
    </row>
    <row r="537" spans="1:7" s="94" customFormat="1">
      <c r="A537" s="355" t="s">
        <v>324</v>
      </c>
      <c r="B537" s="437" t="s">
        <v>80</v>
      </c>
      <c r="C537" s="248">
        <v>279.99</v>
      </c>
      <c r="D537" s="248" t="s">
        <v>532</v>
      </c>
      <c r="E537" s="306"/>
      <c r="F537" s="103"/>
      <c r="G537" s="2"/>
    </row>
    <row r="538" spans="1:7" s="94" customFormat="1">
      <c r="A538" s="355" t="s">
        <v>193</v>
      </c>
      <c r="B538" s="437" t="s">
        <v>66</v>
      </c>
      <c r="C538" s="248">
        <v>279.99</v>
      </c>
      <c r="D538" s="248" t="s">
        <v>534</v>
      </c>
      <c r="E538" s="306"/>
      <c r="F538" s="103"/>
      <c r="G538" s="2"/>
    </row>
    <row r="539" spans="1:7" s="94" customFormat="1">
      <c r="A539" s="355" t="s">
        <v>194</v>
      </c>
      <c r="B539" s="438" t="s">
        <v>163</v>
      </c>
      <c r="C539" s="248">
        <v>37.1</v>
      </c>
      <c r="D539" s="248" t="s">
        <v>4</v>
      </c>
      <c r="E539" s="306"/>
      <c r="F539" s="103"/>
      <c r="G539" s="2"/>
    </row>
    <row r="540" spans="1:7" s="94" customFormat="1">
      <c r="A540" s="355" t="s">
        <v>195</v>
      </c>
      <c r="B540" s="438" t="s">
        <v>518</v>
      </c>
      <c r="C540" s="248">
        <v>37.1</v>
      </c>
      <c r="D540" s="248" t="s">
        <v>4</v>
      </c>
      <c r="E540" s="306"/>
      <c r="F540" s="103"/>
      <c r="G540" s="2"/>
    </row>
    <row r="541" spans="1:7" s="94" customFormat="1">
      <c r="A541" s="355"/>
      <c r="B541" s="438"/>
      <c r="C541" s="248"/>
      <c r="D541" s="248"/>
      <c r="E541" s="306"/>
      <c r="F541" s="103"/>
      <c r="G541" s="2"/>
    </row>
    <row r="542" spans="1:7" s="94" customFormat="1">
      <c r="A542" s="355"/>
      <c r="B542" s="438"/>
      <c r="C542" s="248"/>
      <c r="D542" s="248"/>
      <c r="E542" s="306"/>
      <c r="F542" s="103"/>
      <c r="G542" s="2"/>
    </row>
    <row r="543" spans="1:7" s="94" customFormat="1" ht="36">
      <c r="A543" s="363" t="s">
        <v>196</v>
      </c>
      <c r="B543" s="369" t="s">
        <v>519</v>
      </c>
      <c r="C543" s="248">
        <v>1</v>
      </c>
      <c r="D543" s="248" t="s">
        <v>28</v>
      </c>
      <c r="E543" s="306"/>
      <c r="F543" s="103"/>
      <c r="G543" s="2"/>
    </row>
    <row r="544" spans="1:7" s="94" customFormat="1">
      <c r="A544" s="355"/>
      <c r="B544" s="388"/>
      <c r="C544" s="248"/>
      <c r="D544" s="248"/>
      <c r="E544" s="306"/>
      <c r="F544" s="103"/>
      <c r="G544" s="2"/>
    </row>
    <row r="545" spans="1:7" s="94" customFormat="1" ht="24">
      <c r="A545" s="355" t="s">
        <v>1</v>
      </c>
      <c r="B545" s="369" t="s">
        <v>389</v>
      </c>
      <c r="C545" s="248"/>
      <c r="D545" s="248"/>
      <c r="E545" s="306"/>
      <c r="F545" s="103"/>
      <c r="G545" s="2"/>
    </row>
    <row r="546" spans="1:7" s="94" customFormat="1">
      <c r="A546" s="355" t="s">
        <v>197</v>
      </c>
      <c r="B546" s="388" t="s">
        <v>100</v>
      </c>
      <c r="C546" s="248">
        <v>9</v>
      </c>
      <c r="D546" s="248" t="s">
        <v>2</v>
      </c>
      <c r="E546" s="306"/>
      <c r="F546" s="103"/>
      <c r="G546" s="2"/>
    </row>
    <row r="547" spans="1:7" s="94" customFormat="1">
      <c r="A547" s="355" t="s">
        <v>198</v>
      </c>
      <c r="B547" s="388" t="s">
        <v>101</v>
      </c>
      <c r="C547" s="248">
        <v>9</v>
      </c>
      <c r="D547" s="248" t="s">
        <v>2</v>
      </c>
      <c r="E547" s="306"/>
      <c r="F547" s="103"/>
      <c r="G547" s="2"/>
    </row>
    <row r="548" spans="1:7" s="94" customFormat="1">
      <c r="A548" s="355"/>
      <c r="B548" s="388"/>
      <c r="C548" s="248"/>
      <c r="D548" s="248"/>
      <c r="E548" s="306"/>
      <c r="F548" s="103"/>
      <c r="G548" s="2"/>
    </row>
    <row r="549" spans="1:7" s="94" customFormat="1" ht="24.75" customHeight="1">
      <c r="A549" s="363" t="s">
        <v>199</v>
      </c>
      <c r="B549" s="369" t="s">
        <v>520</v>
      </c>
      <c r="C549" s="248">
        <v>1</v>
      </c>
      <c r="D549" s="248" t="s">
        <v>28</v>
      </c>
      <c r="E549" s="306"/>
      <c r="F549" s="103"/>
      <c r="G549" s="2"/>
    </row>
    <row r="550" spans="1:7" s="94" customFormat="1">
      <c r="A550" s="363"/>
      <c r="B550" s="204"/>
      <c r="C550" s="248"/>
      <c r="D550" s="248"/>
      <c r="E550" s="306"/>
      <c r="F550" s="103"/>
      <c r="G550" s="2"/>
    </row>
    <row r="551" spans="1:7" s="94" customFormat="1" ht="36">
      <c r="A551" s="363" t="s">
        <v>200</v>
      </c>
      <c r="B551" s="369" t="s">
        <v>521</v>
      </c>
      <c r="C551" s="248">
        <v>1</v>
      </c>
      <c r="D551" s="248" t="s">
        <v>28</v>
      </c>
      <c r="E551" s="306"/>
      <c r="F551" s="103"/>
      <c r="G551" s="2"/>
    </row>
    <row r="552" spans="1:7" s="94" customFormat="1">
      <c r="A552" s="363"/>
      <c r="B552" s="369"/>
      <c r="C552" s="248"/>
      <c r="D552" s="248"/>
      <c r="E552" s="306"/>
      <c r="F552" s="103"/>
      <c r="G552" s="2"/>
    </row>
    <row r="553" spans="1:7" s="94" customFormat="1">
      <c r="A553" s="363"/>
      <c r="B553" s="204"/>
      <c r="C553" s="248"/>
      <c r="D553" s="248"/>
      <c r="E553" s="306"/>
      <c r="F553" s="103"/>
      <c r="G553" s="2"/>
    </row>
    <row r="554" spans="1:7" s="94" customFormat="1">
      <c r="A554" s="439" t="s">
        <v>331</v>
      </c>
      <c r="B554" s="416" t="s">
        <v>244</v>
      </c>
      <c r="C554" s="417"/>
      <c r="D554" s="440"/>
      <c r="E554" s="317"/>
      <c r="F554" s="308"/>
      <c r="G554" s="122"/>
    </row>
    <row r="555" spans="1:7" s="94" customFormat="1">
      <c r="A555" s="439"/>
      <c r="B555" s="412" t="s">
        <v>245</v>
      </c>
      <c r="C555" s="417"/>
      <c r="D555" s="440"/>
      <c r="E555" s="317"/>
      <c r="F555" s="308"/>
      <c r="G555" s="122"/>
    </row>
    <row r="556" spans="1:7" s="94" customFormat="1">
      <c r="A556" s="441" t="s">
        <v>8</v>
      </c>
      <c r="B556" s="413" t="s">
        <v>246</v>
      </c>
      <c r="C556" s="417">
        <v>12</v>
      </c>
      <c r="D556" s="440" t="s">
        <v>67</v>
      </c>
      <c r="E556" s="317"/>
      <c r="F556" s="308"/>
      <c r="G556" s="122"/>
    </row>
    <row r="557" spans="1:7" s="94" customFormat="1">
      <c r="A557" s="441" t="s">
        <v>9</v>
      </c>
      <c r="B557" s="413" t="s">
        <v>355</v>
      </c>
      <c r="C557" s="417">
        <v>1</v>
      </c>
      <c r="D557" s="440" t="s">
        <v>67</v>
      </c>
      <c r="E557" s="317"/>
      <c r="F557" s="308"/>
      <c r="G557" s="122"/>
    </row>
    <row r="558" spans="1:7" s="94" customFormat="1">
      <c r="A558" s="441" t="s">
        <v>10</v>
      </c>
      <c r="B558" s="413" t="s">
        <v>247</v>
      </c>
      <c r="C558" s="417">
        <v>1</v>
      </c>
      <c r="D558" s="440" t="s">
        <v>67</v>
      </c>
      <c r="E558" s="317"/>
      <c r="F558" s="308"/>
      <c r="G558" s="122"/>
    </row>
    <row r="559" spans="1:7" s="94" customFormat="1">
      <c r="A559" s="441" t="s">
        <v>11</v>
      </c>
      <c r="B559" s="413" t="s">
        <v>251</v>
      </c>
      <c r="C559" s="417">
        <v>2</v>
      </c>
      <c r="D559" s="440" t="s">
        <v>67</v>
      </c>
      <c r="E559" s="317"/>
      <c r="F559" s="308"/>
      <c r="G559" s="122"/>
    </row>
    <row r="560" spans="1:7" s="94" customFormat="1">
      <c r="A560" s="441" t="s">
        <v>12</v>
      </c>
      <c r="B560" s="413" t="s">
        <v>348</v>
      </c>
      <c r="C560" s="417">
        <v>2</v>
      </c>
      <c r="D560" s="440" t="s">
        <v>67</v>
      </c>
      <c r="E560" s="317"/>
      <c r="F560" s="308"/>
      <c r="G560" s="122"/>
    </row>
    <row r="561" spans="1:7" s="94" customFormat="1">
      <c r="A561" s="441" t="s">
        <v>13</v>
      </c>
      <c r="B561" s="413" t="s">
        <v>349</v>
      </c>
      <c r="C561" s="417">
        <v>1</v>
      </c>
      <c r="D561" s="440" t="s">
        <v>67</v>
      </c>
      <c r="E561" s="317"/>
      <c r="F561" s="308"/>
      <c r="G561" s="122"/>
    </row>
    <row r="562" spans="1:7" s="94" customFormat="1">
      <c r="A562" s="441" t="s">
        <v>352</v>
      </c>
      <c r="B562" s="413" t="s">
        <v>350</v>
      </c>
      <c r="C562" s="417">
        <v>1</v>
      </c>
      <c r="D562" s="440" t="s">
        <v>67</v>
      </c>
      <c r="E562" s="317"/>
      <c r="F562" s="308"/>
      <c r="G562" s="122"/>
    </row>
    <row r="563" spans="1:7" s="94" customFormat="1">
      <c r="A563" s="441" t="s">
        <v>15</v>
      </c>
      <c r="B563" s="413" t="s">
        <v>351</v>
      </c>
      <c r="C563" s="417">
        <v>1</v>
      </c>
      <c r="D563" s="440" t="s">
        <v>67</v>
      </c>
      <c r="E563" s="317"/>
      <c r="F563" s="308"/>
      <c r="G563" s="122"/>
    </row>
    <row r="564" spans="1:7" s="94" customFormat="1">
      <c r="A564" s="441" t="s">
        <v>61</v>
      </c>
      <c r="B564" s="413" t="s">
        <v>353</v>
      </c>
      <c r="C564" s="417">
        <v>1</v>
      </c>
      <c r="D564" s="440" t="s">
        <v>67</v>
      </c>
      <c r="E564" s="317"/>
      <c r="F564" s="308"/>
      <c r="G564" s="122"/>
    </row>
    <row r="565" spans="1:7" s="94" customFormat="1">
      <c r="A565" s="198" t="s">
        <v>16</v>
      </c>
      <c r="B565" s="413" t="s">
        <v>354</v>
      </c>
      <c r="C565" s="417">
        <v>1</v>
      </c>
      <c r="D565" s="440" t="s">
        <v>67</v>
      </c>
      <c r="E565" s="317"/>
      <c r="F565" s="308"/>
      <c r="G565" s="122"/>
    </row>
    <row r="566" spans="1:7" s="94" customFormat="1">
      <c r="A566" s="198"/>
      <c r="B566" s="437"/>
      <c r="C566" s="197"/>
      <c r="D566" s="279"/>
      <c r="E566" s="312"/>
      <c r="F566" s="308"/>
      <c r="G566" s="2"/>
    </row>
    <row r="567" spans="1:7" s="94" customFormat="1">
      <c r="A567" s="353" t="s">
        <v>319</v>
      </c>
      <c r="B567" s="384" t="s">
        <v>86</v>
      </c>
      <c r="C567" s="197"/>
      <c r="D567" s="197"/>
      <c r="E567" s="312"/>
      <c r="F567" s="308"/>
      <c r="G567" s="330"/>
    </row>
    <row r="568" spans="1:7" s="94" customFormat="1">
      <c r="A568" s="198"/>
      <c r="B568" s="437"/>
      <c r="C568" s="197"/>
      <c r="D568" s="279"/>
      <c r="E568" s="312"/>
      <c r="F568" s="308"/>
      <c r="G568" s="2"/>
    </row>
    <row r="569" spans="1:7" s="94" customFormat="1">
      <c r="A569" s="442"/>
      <c r="B569" s="443"/>
      <c r="C569" s="403"/>
      <c r="D569" s="403"/>
      <c r="E569" s="321"/>
      <c r="F569" s="310"/>
      <c r="G569" s="131"/>
    </row>
    <row r="570" spans="1:7" s="94" customFormat="1">
      <c r="A570" s="444"/>
      <c r="B570" s="445"/>
      <c r="C570" s="344"/>
      <c r="D570" s="344"/>
      <c r="E570" s="331"/>
      <c r="F570" s="332"/>
      <c r="G570" s="333"/>
    </row>
    <row r="571" spans="1:7" s="94" customFormat="1">
      <c r="A571" s="337"/>
      <c r="B571" s="143"/>
      <c r="C571" s="289"/>
      <c r="D571" s="290"/>
      <c r="E571" s="80"/>
      <c r="F571" s="334"/>
      <c r="G571" s="135"/>
    </row>
    <row r="572" spans="1:7" s="94" customFormat="1">
      <c r="A572" s="52"/>
      <c r="B572" s="297"/>
      <c r="C572" s="446"/>
      <c r="D572" s="297"/>
      <c r="E572" s="136"/>
      <c r="F572" s="335"/>
      <c r="G572" s="135"/>
    </row>
    <row r="573" spans="1:7" s="94" customFormat="1">
      <c r="A573" s="52"/>
      <c r="B573" s="297"/>
      <c r="C573" s="446"/>
      <c r="D573" s="297"/>
      <c r="E573" s="136"/>
      <c r="F573" s="335"/>
      <c r="G573" s="135"/>
    </row>
    <row r="574" spans="1:7" s="94" customFormat="1">
      <c r="A574" s="52"/>
      <c r="B574" s="297"/>
      <c r="C574" s="446"/>
      <c r="D574" s="297"/>
      <c r="E574" s="136"/>
      <c r="F574" s="335"/>
      <c r="G574" s="135"/>
    </row>
    <row r="575" spans="1:7" s="94" customFormat="1">
      <c r="A575" s="52"/>
      <c r="B575" s="297"/>
      <c r="C575" s="446"/>
      <c r="D575" s="297"/>
      <c r="E575" s="136"/>
      <c r="F575" s="335"/>
      <c r="G575" s="135"/>
    </row>
    <row r="576" spans="1:7" s="94" customFormat="1">
      <c r="A576" s="52"/>
      <c r="B576" s="297"/>
      <c r="C576" s="446"/>
      <c r="D576" s="297"/>
      <c r="E576" s="136"/>
      <c r="F576" s="335"/>
      <c r="G576" s="135"/>
    </row>
    <row r="577" spans="1:7" s="94" customFormat="1">
      <c r="A577" s="52"/>
      <c r="B577" s="297"/>
      <c r="C577" s="446"/>
      <c r="D577" s="297"/>
      <c r="E577" s="136"/>
      <c r="F577" s="335"/>
      <c r="G577" s="135"/>
    </row>
    <row r="578" spans="1:7" s="94" customFormat="1">
      <c r="A578" s="52"/>
      <c r="B578" s="297"/>
      <c r="C578" s="446"/>
      <c r="D578" s="297"/>
      <c r="E578" s="136"/>
      <c r="F578" s="335"/>
      <c r="G578" s="135"/>
    </row>
    <row r="579" spans="1:7" s="94" customFormat="1">
      <c r="A579" s="52"/>
      <c r="B579" s="297"/>
      <c r="C579" s="446"/>
      <c r="D579" s="297"/>
      <c r="E579" s="136"/>
      <c r="F579" s="335"/>
      <c r="G579" s="135"/>
    </row>
    <row r="580" spans="1:7" s="94" customFormat="1">
      <c r="A580" s="52"/>
      <c r="B580" s="297"/>
      <c r="C580" s="446"/>
      <c r="D580" s="297"/>
      <c r="E580" s="136"/>
      <c r="F580" s="335"/>
      <c r="G580" s="135"/>
    </row>
    <row r="581" spans="1:7" s="94" customFormat="1">
      <c r="A581" s="52"/>
      <c r="B581" s="297"/>
      <c r="C581" s="446"/>
      <c r="D581" s="297"/>
      <c r="E581" s="136"/>
      <c r="F581" s="335"/>
      <c r="G581" s="135"/>
    </row>
    <row r="582" spans="1:7" s="94" customFormat="1">
      <c r="A582" s="52"/>
      <c r="B582" s="297"/>
      <c r="C582" s="446"/>
      <c r="D582" s="297"/>
      <c r="E582" s="136"/>
      <c r="F582" s="335"/>
      <c r="G582" s="135"/>
    </row>
    <row r="583" spans="1:7" s="94" customFormat="1">
      <c r="A583" s="52"/>
      <c r="B583" s="297"/>
      <c r="C583" s="446"/>
      <c r="D583" s="297"/>
      <c r="E583" s="136"/>
      <c r="F583" s="335"/>
      <c r="G583" s="135"/>
    </row>
    <row r="584" spans="1:7" s="94" customFormat="1">
      <c r="A584" s="52"/>
      <c r="B584" s="297"/>
      <c r="C584" s="446"/>
      <c r="D584" s="297"/>
      <c r="E584" s="136"/>
      <c r="F584" s="335"/>
      <c r="G584" s="135"/>
    </row>
    <row r="585" spans="1:7" s="94" customFormat="1">
      <c r="A585" s="52"/>
      <c r="B585" s="336"/>
      <c r="C585" s="344"/>
      <c r="D585" s="153"/>
      <c r="E585" s="92"/>
      <c r="F585" s="335"/>
      <c r="G585" s="91"/>
    </row>
    <row r="586" spans="1:7" s="94" customFormat="1">
      <c r="A586" s="52"/>
      <c r="B586" s="336"/>
      <c r="C586" s="344"/>
      <c r="D586" s="153"/>
      <c r="E586" s="92"/>
      <c r="F586" s="335"/>
      <c r="G586" s="91"/>
    </row>
    <row r="587" spans="1:7" s="94" customFormat="1">
      <c r="A587" s="52"/>
      <c r="B587" s="336"/>
      <c r="C587" s="344"/>
      <c r="D587" s="153"/>
      <c r="E587" s="92"/>
      <c r="F587" s="335"/>
      <c r="G587" s="91"/>
    </row>
    <row r="588" spans="1:7" s="94" customFormat="1">
      <c r="A588" s="63"/>
      <c r="B588" s="336"/>
      <c r="C588" s="344"/>
      <c r="D588" s="153"/>
      <c r="E588" s="92"/>
      <c r="F588" s="335"/>
      <c r="G588" s="91"/>
    </row>
    <row r="589" spans="1:7" s="94" customFormat="1">
      <c r="A589" s="63"/>
      <c r="B589" s="336"/>
      <c r="C589" s="344"/>
      <c r="D589" s="153"/>
      <c r="E589" s="92"/>
      <c r="F589" s="335"/>
      <c r="G589" s="91"/>
    </row>
    <row r="590" spans="1:7" s="94" customFormat="1">
      <c r="A590" s="63"/>
      <c r="B590" s="336"/>
      <c r="C590" s="344"/>
      <c r="D590" s="153"/>
      <c r="E590" s="92"/>
      <c r="F590" s="335"/>
      <c r="G590" s="91"/>
    </row>
    <row r="591" spans="1:7" s="94" customFormat="1">
      <c r="A591" s="63"/>
      <c r="B591" s="336"/>
      <c r="C591" s="344"/>
      <c r="D591" s="153"/>
      <c r="E591" s="92"/>
      <c r="F591" s="335"/>
      <c r="G591" s="91"/>
    </row>
    <row r="592" spans="1:7" s="94" customFormat="1">
      <c r="A592" s="63"/>
      <c r="B592" s="336"/>
      <c r="C592" s="344"/>
      <c r="D592" s="153"/>
      <c r="E592" s="92"/>
      <c r="F592" s="335"/>
      <c r="G592" s="91"/>
    </row>
    <row r="593" spans="1:7" s="94" customFormat="1">
      <c r="A593" s="63"/>
      <c r="B593" s="336"/>
      <c r="C593" s="344"/>
      <c r="D593" s="153"/>
      <c r="E593" s="92"/>
      <c r="F593" s="335"/>
      <c r="G593" s="91"/>
    </row>
    <row r="594" spans="1:7" s="94" customFormat="1">
      <c r="A594" s="63"/>
      <c r="B594" s="336"/>
      <c r="C594" s="344"/>
      <c r="D594" s="153"/>
      <c r="E594" s="92"/>
      <c r="F594" s="335"/>
      <c r="G594" s="91"/>
    </row>
    <row r="595" spans="1:7" s="94" customFormat="1">
      <c r="A595" s="63"/>
      <c r="B595" s="336"/>
      <c r="C595" s="344"/>
      <c r="D595" s="153"/>
      <c r="E595" s="92"/>
      <c r="F595" s="335"/>
      <c r="G595" s="91"/>
    </row>
    <row r="596" spans="1:7" s="94" customFormat="1">
      <c r="A596" s="63"/>
      <c r="B596" s="336"/>
      <c r="C596" s="344"/>
      <c r="D596" s="153"/>
      <c r="E596" s="92"/>
      <c r="F596" s="335"/>
      <c r="G596" s="91"/>
    </row>
    <row r="597" spans="1:7" s="94" customFormat="1">
      <c r="A597" s="63"/>
      <c r="B597" s="336"/>
      <c r="C597" s="344"/>
      <c r="D597" s="153"/>
      <c r="E597" s="92"/>
      <c r="F597" s="335"/>
      <c r="G597" s="91"/>
    </row>
    <row r="598" spans="1:7" s="94" customFormat="1">
      <c r="A598" s="63"/>
      <c r="B598" s="336"/>
      <c r="C598" s="344"/>
      <c r="D598" s="153"/>
      <c r="E598" s="92"/>
      <c r="F598" s="335"/>
      <c r="G598" s="91"/>
    </row>
    <row r="599" spans="1:7" s="94" customFormat="1">
      <c r="A599" s="63"/>
      <c r="B599" s="336"/>
      <c r="C599" s="344"/>
      <c r="D599" s="153"/>
      <c r="E599" s="92"/>
      <c r="F599" s="335"/>
      <c r="G599" s="91"/>
    </row>
    <row r="600" spans="1:7" s="94" customFormat="1">
      <c r="A600" s="63"/>
      <c r="B600" s="336"/>
      <c r="C600" s="344"/>
      <c r="D600" s="153"/>
      <c r="E600" s="92"/>
      <c r="F600" s="335"/>
      <c r="G600" s="91"/>
    </row>
    <row r="601" spans="1:7" s="94" customFormat="1">
      <c r="A601" s="63"/>
      <c r="B601" s="336"/>
      <c r="C601" s="344"/>
      <c r="D601" s="153"/>
      <c r="E601" s="92"/>
      <c r="F601" s="335"/>
      <c r="G601" s="91"/>
    </row>
    <row r="602" spans="1:7" s="94" customFormat="1">
      <c r="A602" s="63"/>
      <c r="B602" s="336"/>
      <c r="C602" s="344"/>
      <c r="D602" s="153"/>
      <c r="E602" s="92"/>
      <c r="F602" s="335"/>
      <c r="G602" s="91"/>
    </row>
    <row r="603" spans="1:7" s="94" customFormat="1">
      <c r="A603" s="63"/>
      <c r="B603" s="336"/>
      <c r="C603" s="344"/>
      <c r="D603" s="153"/>
      <c r="E603" s="92"/>
      <c r="F603" s="335"/>
      <c r="G603" s="91"/>
    </row>
    <row r="604" spans="1:7" s="94" customFormat="1">
      <c r="A604" s="63"/>
      <c r="B604" s="336"/>
      <c r="C604" s="344"/>
      <c r="D604" s="153"/>
      <c r="E604" s="92"/>
      <c r="F604" s="335"/>
      <c r="G604" s="91"/>
    </row>
    <row r="605" spans="1:7" s="94" customFormat="1">
      <c r="A605" s="63"/>
      <c r="B605" s="336"/>
      <c r="C605" s="344"/>
      <c r="D605" s="153"/>
      <c r="E605" s="92"/>
      <c r="F605" s="335"/>
      <c r="G605" s="91"/>
    </row>
    <row r="606" spans="1:7" s="94" customFormat="1">
      <c r="A606" s="63"/>
      <c r="B606" s="336"/>
      <c r="C606" s="344"/>
      <c r="D606" s="153"/>
      <c r="E606" s="92"/>
      <c r="F606" s="335"/>
      <c r="G606" s="91"/>
    </row>
    <row r="607" spans="1:7" s="94" customFormat="1">
      <c r="A607" s="63"/>
      <c r="B607" s="336"/>
      <c r="C607" s="344"/>
      <c r="D607" s="153"/>
      <c r="E607" s="92"/>
      <c r="F607" s="335"/>
      <c r="G607" s="91"/>
    </row>
    <row r="608" spans="1:7" s="94" customFormat="1">
      <c r="A608" s="63"/>
      <c r="B608" s="336"/>
      <c r="C608" s="344"/>
      <c r="D608" s="153"/>
      <c r="E608" s="92"/>
      <c r="F608" s="335"/>
      <c r="G608" s="91"/>
    </row>
    <row r="609" spans="1:7" s="94" customFormat="1">
      <c r="A609" s="63"/>
      <c r="B609" s="336"/>
      <c r="C609" s="344"/>
      <c r="D609" s="153"/>
      <c r="E609" s="92"/>
      <c r="F609" s="335"/>
      <c r="G609" s="91"/>
    </row>
    <row r="610" spans="1:7" s="94" customFormat="1">
      <c r="A610" s="63"/>
      <c r="B610" s="336"/>
      <c r="C610" s="344"/>
      <c r="D610" s="153"/>
      <c r="E610" s="92"/>
      <c r="F610" s="335"/>
      <c r="G610" s="91"/>
    </row>
    <row r="611" spans="1:7" s="94" customFormat="1">
      <c r="A611" s="63"/>
      <c r="B611" s="336"/>
      <c r="C611" s="344"/>
      <c r="D611" s="153"/>
      <c r="E611" s="92"/>
      <c r="F611" s="335"/>
      <c r="G611" s="91"/>
    </row>
    <row r="612" spans="1:7" s="94" customFormat="1">
      <c r="A612" s="63"/>
      <c r="B612" s="336"/>
      <c r="C612" s="344"/>
      <c r="D612" s="153"/>
      <c r="E612" s="92"/>
      <c r="F612" s="335"/>
      <c r="G612" s="91"/>
    </row>
    <row r="613" spans="1:7" s="94" customFormat="1">
      <c r="A613" s="63"/>
      <c r="B613" s="336"/>
      <c r="C613" s="344"/>
      <c r="D613" s="153"/>
      <c r="E613" s="92"/>
      <c r="F613" s="335"/>
      <c r="G613" s="91"/>
    </row>
    <row r="614" spans="1:7" s="94" customFormat="1">
      <c r="A614" s="63"/>
      <c r="B614" s="336"/>
      <c r="C614" s="344"/>
      <c r="D614" s="153"/>
      <c r="E614" s="92"/>
      <c r="F614" s="335"/>
      <c r="G614" s="91"/>
    </row>
    <row r="615" spans="1:7" s="94" customFormat="1">
      <c r="A615" s="63"/>
      <c r="B615" s="336"/>
      <c r="C615" s="344"/>
      <c r="D615" s="153"/>
      <c r="E615" s="92"/>
      <c r="F615" s="335"/>
      <c r="G615" s="91"/>
    </row>
    <row r="616" spans="1:7" s="94" customFormat="1">
      <c r="A616" s="63"/>
      <c r="B616" s="336"/>
      <c r="C616" s="344"/>
      <c r="D616" s="153"/>
      <c r="E616" s="92"/>
      <c r="F616" s="335"/>
      <c r="G616" s="91"/>
    </row>
    <row r="617" spans="1:7" s="94" customFormat="1">
      <c r="A617" s="63"/>
      <c r="B617" s="336"/>
      <c r="C617" s="344"/>
      <c r="D617" s="153"/>
      <c r="E617" s="92"/>
      <c r="F617" s="335"/>
      <c r="G617" s="91"/>
    </row>
    <row r="618" spans="1:7" s="94" customFormat="1">
      <c r="A618" s="63"/>
      <c r="B618" s="336"/>
      <c r="C618" s="344"/>
      <c r="D618" s="153"/>
      <c r="E618" s="92"/>
      <c r="F618" s="335"/>
      <c r="G618" s="91"/>
    </row>
    <row r="619" spans="1:7" s="94" customFormat="1">
      <c r="A619" s="63"/>
      <c r="B619" s="336"/>
      <c r="C619" s="344"/>
      <c r="D619" s="153"/>
      <c r="E619" s="92"/>
      <c r="F619" s="335"/>
      <c r="G619" s="91"/>
    </row>
    <row r="620" spans="1:7" s="94" customFormat="1">
      <c r="A620" s="63"/>
      <c r="B620" s="336"/>
      <c r="C620" s="344"/>
      <c r="D620" s="153"/>
      <c r="E620" s="92"/>
      <c r="F620" s="335"/>
      <c r="G620" s="91"/>
    </row>
    <row r="621" spans="1:7" s="94" customFormat="1">
      <c r="A621" s="63"/>
      <c r="B621" s="336"/>
      <c r="C621" s="344"/>
      <c r="D621" s="153"/>
      <c r="E621" s="92"/>
      <c r="F621" s="335"/>
      <c r="G621" s="91"/>
    </row>
    <row r="622" spans="1:7" s="94" customFormat="1">
      <c r="A622" s="63"/>
      <c r="B622" s="336"/>
      <c r="C622" s="344"/>
      <c r="D622" s="153"/>
      <c r="E622" s="92"/>
      <c r="F622" s="335"/>
      <c r="G622" s="91"/>
    </row>
    <row r="623" spans="1:7" s="94" customFormat="1">
      <c r="A623" s="63"/>
      <c r="B623" s="336"/>
      <c r="C623" s="344"/>
      <c r="D623" s="153"/>
      <c r="E623" s="92"/>
      <c r="F623" s="335"/>
      <c r="G623" s="91"/>
    </row>
    <row r="624" spans="1:7" s="94" customFormat="1">
      <c r="A624" s="63"/>
      <c r="B624" s="336"/>
      <c r="C624" s="344"/>
      <c r="D624" s="153"/>
      <c r="E624" s="92"/>
      <c r="F624" s="335"/>
      <c r="G624" s="91"/>
    </row>
    <row r="625" spans="1:7" s="94" customFormat="1">
      <c r="A625" s="63"/>
      <c r="B625" s="336"/>
      <c r="C625" s="344"/>
      <c r="D625" s="153"/>
      <c r="E625" s="92"/>
      <c r="F625" s="335"/>
      <c r="G625" s="91"/>
    </row>
    <row r="626" spans="1:7" s="94" customFormat="1">
      <c r="A626" s="63"/>
      <c r="B626" s="336"/>
      <c r="C626" s="344"/>
      <c r="D626" s="153"/>
      <c r="E626" s="92"/>
      <c r="F626" s="335"/>
      <c r="G626" s="91"/>
    </row>
    <row r="627" spans="1:7" s="94" customFormat="1">
      <c r="A627" s="63"/>
      <c r="B627" s="336"/>
      <c r="C627" s="344"/>
      <c r="D627" s="153"/>
      <c r="E627" s="92"/>
      <c r="F627" s="335"/>
      <c r="G627" s="91"/>
    </row>
    <row r="628" spans="1:7" s="94" customFormat="1">
      <c r="A628" s="63"/>
      <c r="B628" s="336"/>
      <c r="C628" s="344"/>
      <c r="D628" s="153"/>
      <c r="E628" s="92"/>
      <c r="F628" s="335"/>
      <c r="G628" s="91"/>
    </row>
    <row r="629" spans="1:7" s="94" customFormat="1">
      <c r="A629" s="63"/>
      <c r="B629" s="336"/>
      <c r="C629" s="344"/>
      <c r="D629" s="153"/>
      <c r="E629" s="92"/>
      <c r="F629" s="335"/>
      <c r="G629" s="91"/>
    </row>
    <row r="630" spans="1:7" s="94" customFormat="1">
      <c r="A630" s="63"/>
      <c r="B630" s="336"/>
      <c r="C630" s="344"/>
      <c r="D630" s="153"/>
      <c r="E630" s="92"/>
      <c r="F630" s="335"/>
      <c r="G630" s="91"/>
    </row>
    <row r="631" spans="1:7" s="94" customFormat="1">
      <c r="A631" s="63"/>
      <c r="B631" s="336"/>
      <c r="C631" s="344"/>
      <c r="D631" s="153"/>
      <c r="E631" s="92"/>
      <c r="F631" s="335"/>
      <c r="G631" s="91"/>
    </row>
    <row r="632" spans="1:7" s="94" customFormat="1">
      <c r="A632" s="63"/>
      <c r="B632" s="336"/>
      <c r="C632" s="344"/>
      <c r="D632" s="153"/>
      <c r="E632" s="92"/>
      <c r="F632" s="335"/>
      <c r="G632" s="91"/>
    </row>
    <row r="633" spans="1:7" s="94" customFormat="1">
      <c r="A633" s="63"/>
      <c r="B633" s="336"/>
      <c r="C633" s="344"/>
      <c r="D633" s="153"/>
      <c r="E633" s="92"/>
      <c r="F633" s="335"/>
      <c r="G633" s="91"/>
    </row>
    <row r="634" spans="1:7" s="94" customFormat="1">
      <c r="A634" s="63"/>
      <c r="B634" s="336"/>
      <c r="C634" s="344"/>
      <c r="D634" s="153"/>
      <c r="E634" s="92"/>
      <c r="F634" s="335"/>
      <c r="G634" s="91"/>
    </row>
    <row r="635" spans="1:7" s="94" customFormat="1">
      <c r="A635" s="63"/>
      <c r="B635" s="336"/>
      <c r="C635" s="344"/>
      <c r="D635" s="153"/>
      <c r="E635" s="92"/>
      <c r="F635" s="335"/>
      <c r="G635" s="91"/>
    </row>
    <row r="636" spans="1:7" s="94" customFormat="1">
      <c r="A636" s="63"/>
      <c r="B636" s="336"/>
      <c r="C636" s="344"/>
      <c r="D636" s="153"/>
      <c r="E636" s="92"/>
      <c r="F636" s="335"/>
      <c r="G636" s="91"/>
    </row>
    <row r="637" spans="1:7" s="94" customFormat="1">
      <c r="A637" s="63"/>
      <c r="B637" s="336"/>
      <c r="C637" s="344"/>
      <c r="D637" s="153"/>
      <c r="E637" s="92"/>
      <c r="F637" s="335"/>
      <c r="G637" s="91"/>
    </row>
    <row r="638" spans="1:7" s="94" customFormat="1">
      <c r="A638" s="63"/>
      <c r="B638" s="336"/>
      <c r="C638" s="344"/>
      <c r="D638" s="153"/>
      <c r="E638" s="92"/>
      <c r="F638" s="335"/>
      <c r="G638" s="91"/>
    </row>
    <row r="639" spans="1:7" s="94" customFormat="1">
      <c r="A639" s="63"/>
      <c r="B639" s="336"/>
      <c r="C639" s="344"/>
      <c r="D639" s="153"/>
      <c r="E639" s="92"/>
      <c r="F639" s="335"/>
      <c r="G639" s="91"/>
    </row>
    <row r="640" spans="1:7" s="94" customFormat="1">
      <c r="A640" s="63"/>
      <c r="B640" s="336"/>
      <c r="C640" s="344"/>
      <c r="D640" s="153"/>
      <c r="E640" s="92"/>
      <c r="F640" s="335"/>
      <c r="G640" s="91"/>
    </row>
    <row r="641" spans="1:7">
      <c r="A641" s="63"/>
      <c r="B641" s="336"/>
      <c r="C641" s="344"/>
      <c r="D641" s="153"/>
      <c r="E641" s="92"/>
      <c r="F641" s="335"/>
      <c r="G641" s="91"/>
    </row>
    <row r="642" spans="1:7">
      <c r="A642" s="63"/>
      <c r="B642" s="336"/>
      <c r="C642" s="344"/>
      <c r="D642" s="153"/>
      <c r="E642" s="92"/>
      <c r="F642" s="335"/>
      <c r="G642" s="91"/>
    </row>
    <row r="643" spans="1:7">
      <c r="A643" s="63"/>
      <c r="B643" s="336"/>
      <c r="C643" s="344"/>
      <c r="D643" s="153"/>
      <c r="E643" s="92"/>
      <c r="F643" s="335"/>
      <c r="G643" s="91"/>
    </row>
    <row r="644" spans="1:7">
      <c r="A644" s="63"/>
      <c r="B644" s="336"/>
      <c r="C644" s="344"/>
      <c r="D644" s="153"/>
      <c r="E644" s="92"/>
      <c r="F644" s="335"/>
      <c r="G644" s="91"/>
    </row>
    <row r="645" spans="1:7">
      <c r="A645" s="63"/>
      <c r="B645" s="336"/>
      <c r="C645" s="344"/>
      <c r="D645" s="153"/>
      <c r="E645" s="92"/>
      <c r="F645" s="335"/>
      <c r="G645" s="91"/>
    </row>
    <row r="646" spans="1:7">
      <c r="A646" s="63"/>
      <c r="B646" s="336"/>
      <c r="C646" s="344"/>
      <c r="D646" s="153"/>
      <c r="E646" s="92"/>
      <c r="F646" s="335"/>
      <c r="G646" s="91"/>
    </row>
    <row r="647" spans="1:7">
      <c r="A647" s="63"/>
      <c r="B647" s="336"/>
      <c r="C647" s="344"/>
      <c r="D647" s="153"/>
      <c r="E647" s="92"/>
      <c r="F647" s="335"/>
      <c r="G647" s="91"/>
    </row>
    <row r="648" spans="1:7">
      <c r="A648" s="63"/>
      <c r="B648" s="336"/>
      <c r="C648" s="344"/>
      <c r="D648" s="153"/>
      <c r="E648" s="92"/>
      <c r="F648" s="335"/>
      <c r="G648" s="91"/>
    </row>
    <row r="649" spans="1:7">
      <c r="A649" s="63"/>
      <c r="B649" s="336"/>
      <c r="C649" s="344"/>
      <c r="D649" s="153"/>
      <c r="E649" s="92"/>
      <c r="F649" s="335"/>
      <c r="G649" s="91"/>
    </row>
    <row r="650" spans="1:7">
      <c r="A650" s="63"/>
      <c r="B650" s="336"/>
      <c r="C650" s="344"/>
      <c r="D650" s="153"/>
      <c r="E650" s="92"/>
      <c r="F650" s="335"/>
      <c r="G650" s="91"/>
    </row>
    <row r="651" spans="1:7">
      <c r="A651" s="63"/>
      <c r="B651" s="336"/>
      <c r="C651" s="344"/>
      <c r="D651" s="153"/>
      <c r="E651" s="92"/>
      <c r="F651" s="335"/>
      <c r="G651" s="91"/>
    </row>
    <row r="652" spans="1:7">
      <c r="A652" s="63"/>
      <c r="B652" s="336"/>
      <c r="C652" s="344"/>
      <c r="D652" s="153"/>
      <c r="E652" s="92"/>
      <c r="F652" s="335"/>
      <c r="G652" s="91"/>
    </row>
    <row r="653" spans="1:7">
      <c r="A653" s="63"/>
      <c r="B653" s="336"/>
      <c r="C653" s="344"/>
      <c r="D653" s="153"/>
      <c r="E653" s="92"/>
      <c r="F653" s="335"/>
      <c r="G653" s="91"/>
    </row>
    <row r="654" spans="1:7">
      <c r="A654" s="63"/>
      <c r="B654" s="336"/>
      <c r="C654" s="344"/>
      <c r="D654" s="153"/>
      <c r="E654" s="92"/>
      <c r="F654" s="335"/>
      <c r="G654" s="91"/>
    </row>
    <row r="655" spans="1:7">
      <c r="A655" s="63"/>
      <c r="B655" s="336"/>
      <c r="C655" s="344"/>
      <c r="D655" s="153"/>
      <c r="E655" s="92"/>
      <c r="F655" s="335"/>
      <c r="G655" s="91"/>
    </row>
    <row r="656" spans="1:7">
      <c r="A656" s="63"/>
      <c r="B656" s="336"/>
      <c r="C656" s="344"/>
      <c r="D656" s="153"/>
      <c r="E656" s="92"/>
      <c r="F656" s="335"/>
      <c r="G656" s="91"/>
    </row>
    <row r="657" spans="1:7">
      <c r="A657" s="63"/>
      <c r="B657" s="336"/>
      <c r="C657" s="344"/>
      <c r="D657" s="153"/>
      <c r="E657" s="92"/>
      <c r="F657" s="335"/>
      <c r="G657" s="91"/>
    </row>
    <row r="658" spans="1:7">
      <c r="A658" s="63"/>
      <c r="B658" s="336"/>
      <c r="C658" s="344"/>
      <c r="D658" s="153"/>
      <c r="E658" s="92"/>
      <c r="F658" s="335"/>
      <c r="G658" s="91"/>
    </row>
    <row r="659" spans="1:7">
      <c r="A659" s="63"/>
      <c r="B659" s="336"/>
      <c r="C659" s="344"/>
      <c r="D659" s="153"/>
      <c r="E659" s="92"/>
      <c r="F659" s="335"/>
      <c r="G659" s="91"/>
    </row>
    <row r="660" spans="1:7">
      <c r="A660" s="63"/>
      <c r="B660" s="336"/>
      <c r="C660" s="344"/>
      <c r="D660" s="153"/>
      <c r="E660" s="92"/>
      <c r="F660" s="335"/>
      <c r="G660" s="91"/>
    </row>
    <row r="661" spans="1:7">
      <c r="A661" s="63"/>
      <c r="B661" s="336"/>
      <c r="C661" s="344"/>
      <c r="D661" s="153"/>
      <c r="E661" s="92"/>
      <c r="F661" s="335"/>
      <c r="G661" s="91"/>
    </row>
    <row r="662" spans="1:7">
      <c r="A662" s="63"/>
      <c r="B662" s="336"/>
      <c r="C662" s="344"/>
      <c r="D662" s="153"/>
      <c r="E662" s="92"/>
      <c r="F662" s="335"/>
      <c r="G662" s="91"/>
    </row>
    <row r="663" spans="1:7">
      <c r="A663" s="63"/>
      <c r="B663" s="336"/>
      <c r="C663" s="344"/>
      <c r="D663" s="153"/>
      <c r="E663" s="92"/>
      <c r="F663" s="335"/>
      <c r="G663" s="91"/>
    </row>
    <row r="664" spans="1:7">
      <c r="A664" s="63"/>
      <c r="B664" s="336"/>
      <c r="C664" s="344"/>
      <c r="D664" s="153"/>
      <c r="E664" s="92"/>
      <c r="F664" s="335"/>
      <c r="G664" s="91"/>
    </row>
    <row r="665" spans="1:7">
      <c r="A665" s="63"/>
      <c r="B665" s="336"/>
      <c r="C665" s="344"/>
      <c r="D665" s="153"/>
      <c r="E665" s="92"/>
      <c r="F665" s="335"/>
      <c r="G665" s="91"/>
    </row>
    <row r="666" spans="1:7">
      <c r="A666" s="63"/>
      <c r="B666" s="336"/>
      <c r="C666" s="344"/>
      <c r="D666" s="153"/>
      <c r="E666" s="92"/>
      <c r="F666" s="335"/>
      <c r="G666" s="91"/>
    </row>
    <row r="667" spans="1:7">
      <c r="A667" s="63"/>
      <c r="B667" s="336"/>
      <c r="C667" s="344"/>
      <c r="D667" s="153"/>
      <c r="E667" s="92"/>
      <c r="F667" s="335"/>
      <c r="G667" s="91"/>
    </row>
    <row r="668" spans="1:7">
      <c r="A668" s="63"/>
      <c r="B668" s="336"/>
      <c r="C668" s="344"/>
      <c r="D668" s="153"/>
      <c r="E668" s="92"/>
      <c r="F668" s="335"/>
      <c r="G668" s="91"/>
    </row>
    <row r="669" spans="1:7">
      <c r="A669" s="63"/>
      <c r="B669" s="336"/>
      <c r="C669" s="344"/>
      <c r="D669" s="153"/>
      <c r="E669" s="92"/>
      <c r="F669" s="335"/>
      <c r="G669" s="91"/>
    </row>
    <row r="670" spans="1:7">
      <c r="A670" s="63"/>
      <c r="B670" s="336"/>
      <c r="C670" s="344"/>
      <c r="D670" s="153"/>
      <c r="E670" s="92"/>
      <c r="F670" s="335"/>
      <c r="G670" s="91"/>
    </row>
    <row r="671" spans="1:7">
      <c r="A671" s="63"/>
      <c r="B671" s="336"/>
      <c r="C671" s="344"/>
      <c r="D671" s="153"/>
      <c r="E671" s="92"/>
      <c r="F671" s="335"/>
      <c r="G671" s="91"/>
    </row>
    <row r="672" spans="1:7">
      <c r="A672" s="63"/>
      <c r="B672" s="336"/>
      <c r="C672" s="344"/>
      <c r="D672" s="153"/>
      <c r="E672" s="92"/>
      <c r="F672" s="335"/>
      <c r="G672" s="91"/>
    </row>
    <row r="673" spans="1:7">
      <c r="A673" s="63"/>
      <c r="B673" s="336"/>
      <c r="C673" s="344"/>
      <c r="D673" s="153"/>
      <c r="E673" s="92"/>
      <c r="F673" s="335"/>
      <c r="G673" s="91"/>
    </row>
    <row r="674" spans="1:7">
      <c r="A674" s="63"/>
      <c r="B674" s="336"/>
      <c r="C674" s="344"/>
      <c r="D674" s="153"/>
      <c r="E674" s="92"/>
      <c r="F674" s="335"/>
      <c r="G674" s="91"/>
    </row>
    <row r="675" spans="1:7">
      <c r="A675" s="63"/>
      <c r="B675" s="336"/>
      <c r="C675" s="344"/>
      <c r="D675" s="153"/>
      <c r="E675" s="92"/>
      <c r="F675" s="335"/>
      <c r="G675" s="91"/>
    </row>
    <row r="676" spans="1:7">
      <c r="A676" s="63"/>
      <c r="B676" s="336"/>
      <c r="C676" s="344"/>
      <c r="D676" s="153"/>
      <c r="E676" s="92"/>
      <c r="F676" s="335"/>
      <c r="G676" s="91"/>
    </row>
    <row r="677" spans="1:7">
      <c r="A677" s="63"/>
      <c r="B677" s="336"/>
      <c r="C677" s="344"/>
      <c r="D677" s="153"/>
      <c r="E677" s="92"/>
      <c r="F677" s="335"/>
      <c r="G677" s="91"/>
    </row>
    <row r="678" spans="1:7">
      <c r="A678" s="63"/>
      <c r="B678" s="336"/>
      <c r="C678" s="344"/>
      <c r="D678" s="153"/>
      <c r="E678" s="92"/>
      <c r="F678" s="335"/>
      <c r="G678" s="91"/>
    </row>
    <row r="679" spans="1:7">
      <c r="A679" s="63"/>
      <c r="B679" s="336"/>
      <c r="C679" s="344"/>
      <c r="D679" s="153"/>
      <c r="E679" s="92"/>
      <c r="F679" s="335"/>
      <c r="G679" s="91"/>
    </row>
    <row r="680" spans="1:7">
      <c r="A680" s="63"/>
      <c r="B680" s="336"/>
      <c r="C680" s="344"/>
      <c r="D680" s="153"/>
      <c r="E680" s="92"/>
      <c r="F680" s="335"/>
      <c r="G680" s="91"/>
    </row>
    <row r="681" spans="1:7">
      <c r="A681" s="63"/>
      <c r="B681" s="336"/>
      <c r="C681" s="344"/>
      <c r="D681" s="153"/>
      <c r="E681" s="92"/>
      <c r="F681" s="335"/>
      <c r="G681" s="91"/>
    </row>
    <row r="682" spans="1:7">
      <c r="A682" s="63"/>
      <c r="B682" s="336"/>
      <c r="C682" s="344"/>
      <c r="D682" s="153"/>
      <c r="E682" s="92"/>
      <c r="F682" s="335"/>
      <c r="G682" s="91"/>
    </row>
    <row r="683" spans="1:7">
      <c r="A683" s="63"/>
      <c r="B683" s="336"/>
      <c r="C683" s="344"/>
      <c r="D683" s="153"/>
      <c r="E683" s="92"/>
      <c r="F683" s="335"/>
      <c r="G683" s="91"/>
    </row>
    <row r="684" spans="1:7">
      <c r="A684" s="63"/>
      <c r="B684" s="336"/>
      <c r="C684" s="344"/>
      <c r="D684" s="153"/>
      <c r="E684" s="92"/>
      <c r="F684" s="335"/>
      <c r="G684" s="91"/>
    </row>
    <row r="685" spans="1:7">
      <c r="A685" s="63"/>
      <c r="B685" s="336"/>
      <c r="C685" s="344"/>
      <c r="D685" s="153"/>
      <c r="E685" s="92"/>
      <c r="F685" s="335"/>
      <c r="G685" s="91"/>
    </row>
    <row r="686" spans="1:7">
      <c r="A686" s="63"/>
      <c r="B686" s="336"/>
      <c r="C686" s="344"/>
      <c r="D686" s="153"/>
      <c r="E686" s="92"/>
      <c r="F686" s="335"/>
      <c r="G686" s="91"/>
    </row>
    <row r="687" spans="1:7">
      <c r="A687" s="63"/>
      <c r="B687" s="336"/>
      <c r="C687" s="344"/>
      <c r="D687" s="153"/>
      <c r="E687" s="92"/>
      <c r="F687" s="335"/>
      <c r="G687" s="91"/>
    </row>
    <row r="688" spans="1:7">
      <c r="A688" s="63"/>
      <c r="B688" s="336"/>
      <c r="C688" s="344"/>
      <c r="D688" s="153"/>
      <c r="E688" s="92"/>
      <c r="F688" s="335"/>
      <c r="G688" s="91"/>
    </row>
    <row r="689" spans="1:7">
      <c r="A689" s="63"/>
      <c r="B689" s="336"/>
      <c r="C689" s="344"/>
      <c r="D689" s="153"/>
      <c r="E689" s="92"/>
      <c r="F689" s="335"/>
      <c r="G689" s="91"/>
    </row>
    <row r="690" spans="1:7">
      <c r="A690" s="63"/>
      <c r="B690" s="336"/>
      <c r="C690" s="344"/>
      <c r="D690" s="153"/>
      <c r="E690" s="92"/>
      <c r="F690" s="335"/>
      <c r="G690" s="91"/>
    </row>
    <row r="691" spans="1:7">
      <c r="A691" s="63"/>
      <c r="B691" s="336"/>
      <c r="C691" s="344"/>
      <c r="D691" s="153"/>
      <c r="E691" s="92"/>
      <c r="F691" s="335"/>
      <c r="G691" s="91"/>
    </row>
    <row r="692" spans="1:7">
      <c r="A692" s="63"/>
      <c r="F692" s="335"/>
    </row>
    <row r="693" spans="1:7">
      <c r="A693" s="63"/>
      <c r="F693" s="335"/>
    </row>
    <row r="694" spans="1:7">
      <c r="A694" s="63"/>
      <c r="F694" s="335"/>
    </row>
    <row r="695" spans="1:7">
      <c r="F695" s="335"/>
    </row>
    <row r="696" spans="1:7">
      <c r="F696" s="335"/>
    </row>
    <row r="697" spans="1:7">
      <c r="F697" s="335"/>
    </row>
    <row r="698" spans="1:7">
      <c r="F698" s="335"/>
    </row>
    <row r="699" spans="1:7">
      <c r="F699" s="335"/>
    </row>
    <row r="700" spans="1:7">
      <c r="F700" s="335"/>
    </row>
    <row r="701" spans="1:7">
      <c r="F701" s="335"/>
    </row>
    <row r="702" spans="1:7">
      <c r="F702" s="335"/>
    </row>
    <row r="703" spans="1:7">
      <c r="F703" s="335"/>
    </row>
    <row r="704" spans="1:7">
      <c r="F704" s="335"/>
    </row>
    <row r="705" spans="1:7">
      <c r="F705" s="335"/>
    </row>
    <row r="706" spans="1:7">
      <c r="F706" s="335"/>
    </row>
    <row r="707" spans="1:7">
      <c r="A707" s="341"/>
      <c r="C707" s="341"/>
      <c r="D707" s="341"/>
      <c r="E707" s="88"/>
      <c r="F707" s="335"/>
      <c r="G707" s="88"/>
    </row>
    <row r="708" spans="1:7">
      <c r="A708" s="341"/>
      <c r="C708" s="341"/>
      <c r="D708" s="341"/>
      <c r="E708" s="88"/>
      <c r="F708" s="335"/>
      <c r="G708" s="88"/>
    </row>
    <row r="709" spans="1:7">
      <c r="A709" s="341"/>
      <c r="C709" s="341"/>
      <c r="D709" s="341"/>
      <c r="E709" s="88"/>
      <c r="F709" s="335"/>
      <c r="G709" s="88"/>
    </row>
    <row r="710" spans="1:7">
      <c r="A710" s="341"/>
      <c r="C710" s="341"/>
      <c r="D710" s="341"/>
      <c r="E710" s="88"/>
      <c r="F710" s="335"/>
      <c r="G710" s="88"/>
    </row>
    <row r="711" spans="1:7">
      <c r="A711" s="341"/>
      <c r="C711" s="341"/>
      <c r="D711" s="341"/>
      <c r="E711" s="88"/>
      <c r="F711" s="335"/>
      <c r="G711" s="88"/>
    </row>
    <row r="712" spans="1:7">
      <c r="A712" s="341"/>
      <c r="C712" s="341"/>
      <c r="D712" s="341"/>
      <c r="E712" s="88"/>
      <c r="F712" s="335"/>
      <c r="G712" s="88"/>
    </row>
    <row r="713" spans="1:7">
      <c r="A713" s="341"/>
      <c r="C713" s="341"/>
      <c r="D713" s="341"/>
      <c r="E713" s="88"/>
      <c r="F713" s="335"/>
      <c r="G713" s="88"/>
    </row>
    <row r="714" spans="1:7">
      <c r="A714" s="341"/>
      <c r="C714" s="341"/>
      <c r="D714" s="341"/>
      <c r="E714" s="88"/>
      <c r="F714" s="335"/>
      <c r="G714" s="88"/>
    </row>
    <row r="715" spans="1:7">
      <c r="A715" s="341"/>
      <c r="C715" s="341"/>
      <c r="D715" s="341"/>
      <c r="E715" s="88"/>
      <c r="F715" s="335"/>
      <c r="G715" s="88"/>
    </row>
    <row r="716" spans="1:7">
      <c r="A716" s="341"/>
      <c r="C716" s="341"/>
      <c r="D716" s="341"/>
      <c r="E716" s="88"/>
      <c r="F716" s="335"/>
      <c r="G716" s="88"/>
    </row>
    <row r="717" spans="1:7">
      <c r="A717" s="341"/>
      <c r="C717" s="341"/>
      <c r="D717" s="341"/>
      <c r="E717" s="88"/>
      <c r="F717" s="335"/>
      <c r="G717" s="88"/>
    </row>
    <row r="718" spans="1:7">
      <c r="A718" s="341"/>
      <c r="C718" s="341"/>
      <c r="D718" s="341"/>
      <c r="E718" s="88"/>
      <c r="F718" s="335"/>
      <c r="G718" s="88"/>
    </row>
    <row r="719" spans="1:7">
      <c r="A719" s="341"/>
      <c r="C719" s="341"/>
      <c r="D719" s="341"/>
      <c r="E719" s="88"/>
      <c r="F719" s="335"/>
      <c r="G719" s="88"/>
    </row>
    <row r="720" spans="1:7">
      <c r="A720" s="341"/>
      <c r="C720" s="341"/>
      <c r="D720" s="341"/>
      <c r="E720" s="88"/>
      <c r="F720" s="335"/>
      <c r="G720" s="88"/>
    </row>
    <row r="721" spans="1:7">
      <c r="A721" s="341"/>
      <c r="C721" s="341"/>
      <c r="D721" s="341"/>
      <c r="E721" s="88"/>
      <c r="F721" s="335"/>
      <c r="G721" s="88"/>
    </row>
    <row r="722" spans="1:7">
      <c r="A722" s="341"/>
      <c r="C722" s="341"/>
      <c r="D722" s="341"/>
      <c r="E722" s="88"/>
      <c r="F722" s="335"/>
      <c r="G722" s="88"/>
    </row>
    <row r="723" spans="1:7">
      <c r="A723" s="341"/>
      <c r="C723" s="341"/>
      <c r="D723" s="341"/>
      <c r="E723" s="88"/>
      <c r="F723" s="335"/>
      <c r="G723" s="88"/>
    </row>
    <row r="724" spans="1:7">
      <c r="A724" s="341"/>
      <c r="C724" s="341"/>
      <c r="D724" s="341"/>
      <c r="E724" s="88"/>
      <c r="F724" s="335"/>
      <c r="G724" s="88"/>
    </row>
    <row r="725" spans="1:7">
      <c r="A725" s="341"/>
      <c r="C725" s="341"/>
      <c r="D725" s="341"/>
      <c r="E725" s="88"/>
      <c r="F725" s="335"/>
      <c r="G725" s="88"/>
    </row>
    <row r="726" spans="1:7">
      <c r="A726" s="341"/>
      <c r="C726" s="341"/>
      <c r="D726" s="341"/>
      <c r="E726" s="88"/>
      <c r="F726" s="335"/>
      <c r="G726" s="88"/>
    </row>
    <row r="727" spans="1:7">
      <c r="A727" s="341"/>
      <c r="C727" s="341"/>
      <c r="D727" s="341"/>
      <c r="E727" s="88"/>
      <c r="F727" s="335"/>
      <c r="G727" s="88"/>
    </row>
    <row r="728" spans="1:7">
      <c r="A728" s="341"/>
      <c r="C728" s="341"/>
      <c r="D728" s="341"/>
      <c r="E728" s="88"/>
      <c r="F728" s="335"/>
      <c r="G728" s="88"/>
    </row>
    <row r="729" spans="1:7">
      <c r="A729" s="341"/>
      <c r="C729" s="341"/>
      <c r="D729" s="341"/>
      <c r="E729" s="88"/>
      <c r="F729" s="335"/>
      <c r="G729" s="88"/>
    </row>
    <row r="730" spans="1:7">
      <c r="A730" s="341"/>
      <c r="C730" s="341"/>
      <c r="D730" s="341"/>
      <c r="E730" s="88"/>
      <c r="F730" s="335"/>
      <c r="G730" s="88"/>
    </row>
    <row r="731" spans="1:7">
      <c r="A731" s="341"/>
      <c r="C731" s="341"/>
      <c r="D731" s="341"/>
      <c r="E731" s="88"/>
      <c r="F731" s="335"/>
      <c r="G731" s="88"/>
    </row>
    <row r="732" spans="1:7">
      <c r="A732" s="341"/>
      <c r="C732" s="341"/>
      <c r="D732" s="341"/>
      <c r="E732" s="88"/>
      <c r="F732" s="335"/>
      <c r="G732" s="88"/>
    </row>
    <row r="733" spans="1:7">
      <c r="A733" s="341"/>
      <c r="C733" s="341"/>
      <c r="D733" s="341"/>
      <c r="E733" s="88"/>
      <c r="F733" s="335"/>
      <c r="G733" s="88"/>
    </row>
    <row r="734" spans="1:7">
      <c r="A734" s="341"/>
      <c r="C734" s="341"/>
      <c r="D734" s="341"/>
      <c r="E734" s="88"/>
      <c r="F734" s="335"/>
      <c r="G734" s="88"/>
    </row>
    <row r="735" spans="1:7">
      <c r="A735" s="341"/>
      <c r="C735" s="341"/>
      <c r="D735" s="341"/>
      <c r="E735" s="88"/>
      <c r="F735" s="335"/>
      <c r="G735" s="88"/>
    </row>
    <row r="736" spans="1:7">
      <c r="A736" s="341"/>
      <c r="C736" s="341"/>
      <c r="D736" s="341"/>
      <c r="E736" s="88"/>
      <c r="F736" s="335"/>
      <c r="G736" s="88"/>
    </row>
    <row r="737" spans="1:7">
      <c r="A737" s="341"/>
      <c r="C737" s="341"/>
      <c r="D737" s="341"/>
      <c r="E737" s="88"/>
      <c r="F737" s="335"/>
      <c r="G737" s="88"/>
    </row>
    <row r="738" spans="1:7">
      <c r="A738" s="341"/>
      <c r="C738" s="341"/>
      <c r="D738" s="341"/>
      <c r="E738" s="88"/>
      <c r="F738" s="335"/>
      <c r="G738" s="88"/>
    </row>
    <row r="739" spans="1:7">
      <c r="A739" s="341"/>
      <c r="C739" s="341"/>
      <c r="D739" s="341"/>
      <c r="E739" s="88"/>
      <c r="F739" s="335"/>
      <c r="G739" s="88"/>
    </row>
    <row r="740" spans="1:7">
      <c r="A740" s="341"/>
      <c r="C740" s="341"/>
      <c r="D740" s="341"/>
      <c r="E740" s="88"/>
      <c r="F740" s="335"/>
      <c r="G740" s="88"/>
    </row>
    <row r="741" spans="1:7">
      <c r="A741" s="341"/>
      <c r="C741" s="341"/>
      <c r="D741" s="341"/>
      <c r="E741" s="88"/>
      <c r="F741" s="335"/>
      <c r="G741" s="88"/>
    </row>
    <row r="742" spans="1:7">
      <c r="A742" s="341"/>
      <c r="C742" s="341"/>
      <c r="D742" s="341"/>
      <c r="E742" s="88"/>
      <c r="F742" s="335"/>
      <c r="G742" s="88"/>
    </row>
    <row r="743" spans="1:7">
      <c r="A743" s="341"/>
      <c r="C743" s="341"/>
      <c r="D743" s="341"/>
      <c r="E743" s="88"/>
      <c r="F743" s="335"/>
      <c r="G743" s="88"/>
    </row>
    <row r="744" spans="1:7">
      <c r="A744" s="341"/>
      <c r="C744" s="341"/>
      <c r="D744" s="341"/>
      <c r="E744" s="88"/>
      <c r="F744" s="335"/>
      <c r="G744" s="88"/>
    </row>
    <row r="745" spans="1:7">
      <c r="A745" s="341"/>
      <c r="C745" s="341"/>
      <c r="D745" s="341"/>
      <c r="E745" s="88"/>
      <c r="F745" s="335"/>
      <c r="G745" s="88"/>
    </row>
    <row r="746" spans="1:7">
      <c r="A746" s="341"/>
      <c r="C746" s="341"/>
      <c r="D746" s="341"/>
      <c r="E746" s="88"/>
      <c r="F746" s="335"/>
      <c r="G746" s="88"/>
    </row>
    <row r="747" spans="1:7">
      <c r="A747" s="341"/>
      <c r="C747" s="341"/>
      <c r="D747" s="341"/>
      <c r="E747" s="88"/>
      <c r="F747" s="335"/>
      <c r="G747" s="88"/>
    </row>
    <row r="748" spans="1:7">
      <c r="A748" s="341"/>
      <c r="C748" s="341"/>
      <c r="D748" s="341"/>
      <c r="E748" s="88"/>
      <c r="F748" s="335"/>
      <c r="G748" s="88"/>
    </row>
    <row r="749" spans="1:7">
      <c r="A749" s="341"/>
      <c r="C749" s="341"/>
      <c r="D749" s="341"/>
      <c r="E749" s="88"/>
      <c r="F749" s="335"/>
      <c r="G749" s="88"/>
    </row>
    <row r="750" spans="1:7">
      <c r="A750" s="341"/>
      <c r="C750" s="341"/>
      <c r="D750" s="341"/>
      <c r="E750" s="88"/>
      <c r="F750" s="335"/>
      <c r="G750" s="88"/>
    </row>
    <row r="751" spans="1:7">
      <c r="A751" s="341"/>
      <c r="C751" s="341"/>
      <c r="D751" s="341"/>
      <c r="E751" s="88"/>
      <c r="F751" s="335"/>
      <c r="G751" s="88"/>
    </row>
    <row r="752" spans="1:7">
      <c r="A752" s="341"/>
      <c r="C752" s="341"/>
      <c r="D752" s="341"/>
      <c r="E752" s="88"/>
      <c r="F752" s="335"/>
      <c r="G752" s="88"/>
    </row>
    <row r="753" spans="1:7">
      <c r="A753" s="341"/>
      <c r="C753" s="341"/>
      <c r="D753" s="341"/>
      <c r="E753" s="88"/>
      <c r="F753" s="335"/>
      <c r="G753" s="88"/>
    </row>
    <row r="754" spans="1:7">
      <c r="A754" s="341"/>
      <c r="C754" s="341"/>
      <c r="D754" s="341"/>
      <c r="E754" s="88"/>
      <c r="F754" s="335"/>
      <c r="G754" s="88"/>
    </row>
    <row r="755" spans="1:7">
      <c r="A755" s="341"/>
      <c r="C755" s="341"/>
      <c r="D755" s="341"/>
      <c r="E755" s="88"/>
      <c r="F755" s="335"/>
      <c r="G755" s="88"/>
    </row>
    <row r="756" spans="1:7">
      <c r="A756" s="341"/>
      <c r="C756" s="341"/>
      <c r="D756" s="341"/>
      <c r="E756" s="88"/>
      <c r="F756" s="335"/>
      <c r="G756" s="88"/>
    </row>
    <row r="757" spans="1:7">
      <c r="A757" s="341"/>
      <c r="C757" s="341"/>
      <c r="D757" s="341"/>
      <c r="E757" s="88"/>
      <c r="F757" s="335"/>
      <c r="G757" s="88"/>
    </row>
    <row r="758" spans="1:7">
      <c r="A758" s="341"/>
      <c r="C758" s="341"/>
      <c r="D758" s="341"/>
      <c r="E758" s="88"/>
      <c r="F758" s="335"/>
      <c r="G758" s="88"/>
    </row>
    <row r="759" spans="1:7">
      <c r="A759" s="341"/>
      <c r="C759" s="341"/>
      <c r="D759" s="341"/>
      <c r="E759" s="88"/>
      <c r="F759" s="335"/>
      <c r="G759" s="88"/>
    </row>
    <row r="760" spans="1:7">
      <c r="A760" s="341"/>
      <c r="C760" s="341"/>
      <c r="D760" s="341"/>
      <c r="E760" s="88"/>
      <c r="F760" s="335"/>
      <c r="G760" s="88"/>
    </row>
    <row r="761" spans="1:7">
      <c r="A761" s="341"/>
      <c r="C761" s="341"/>
      <c r="D761" s="341"/>
      <c r="E761" s="88"/>
      <c r="F761" s="335"/>
      <c r="G761" s="88"/>
    </row>
    <row r="762" spans="1:7">
      <c r="A762" s="341"/>
      <c r="C762" s="341"/>
      <c r="D762" s="341"/>
      <c r="E762" s="88"/>
      <c r="F762" s="335"/>
      <c r="G762" s="88"/>
    </row>
    <row r="763" spans="1:7">
      <c r="A763" s="341"/>
      <c r="C763" s="341"/>
      <c r="D763" s="341"/>
      <c r="E763" s="88"/>
      <c r="F763" s="335"/>
      <c r="G763" s="88"/>
    </row>
    <row r="764" spans="1:7">
      <c r="A764" s="341"/>
      <c r="C764" s="341"/>
      <c r="D764" s="341"/>
      <c r="E764" s="88"/>
      <c r="F764" s="335"/>
      <c r="G764" s="88"/>
    </row>
    <row r="765" spans="1:7">
      <c r="A765" s="341"/>
      <c r="C765" s="341"/>
      <c r="D765" s="341"/>
      <c r="E765" s="88"/>
      <c r="F765" s="335"/>
      <c r="G765" s="88"/>
    </row>
    <row r="766" spans="1:7">
      <c r="A766" s="341"/>
      <c r="C766" s="341"/>
      <c r="D766" s="341"/>
      <c r="E766" s="88"/>
      <c r="F766" s="335"/>
      <c r="G766" s="88"/>
    </row>
    <row r="767" spans="1:7">
      <c r="A767" s="341"/>
      <c r="C767" s="341"/>
      <c r="D767" s="341"/>
      <c r="E767" s="88"/>
      <c r="F767" s="335"/>
      <c r="G767" s="88"/>
    </row>
    <row r="768" spans="1:7">
      <c r="A768" s="341"/>
      <c r="C768" s="341"/>
      <c r="D768" s="341"/>
      <c r="E768" s="88"/>
      <c r="F768" s="335"/>
      <c r="G768" s="88"/>
    </row>
    <row r="769" spans="1:7">
      <c r="A769" s="341"/>
      <c r="C769" s="341"/>
      <c r="D769" s="341"/>
      <c r="E769" s="88"/>
      <c r="F769" s="335"/>
      <c r="G769" s="88"/>
    </row>
    <row r="770" spans="1:7">
      <c r="A770" s="341"/>
      <c r="C770" s="341"/>
      <c r="D770" s="341"/>
      <c r="E770" s="88"/>
      <c r="F770" s="335"/>
      <c r="G770" s="88"/>
    </row>
    <row r="771" spans="1:7">
      <c r="A771" s="341"/>
      <c r="C771" s="341"/>
      <c r="D771" s="341"/>
      <c r="E771" s="88"/>
      <c r="F771" s="335"/>
      <c r="G771" s="88"/>
    </row>
    <row r="772" spans="1:7">
      <c r="A772" s="341"/>
      <c r="C772" s="341"/>
      <c r="D772" s="341"/>
      <c r="E772" s="88"/>
      <c r="F772" s="335"/>
      <c r="G772" s="88"/>
    </row>
    <row r="773" spans="1:7">
      <c r="A773" s="341"/>
      <c r="C773" s="341"/>
      <c r="D773" s="341"/>
      <c r="E773" s="88"/>
      <c r="F773" s="335"/>
      <c r="G773" s="88"/>
    </row>
    <row r="774" spans="1:7">
      <c r="A774" s="341"/>
      <c r="C774" s="341"/>
      <c r="D774" s="341"/>
      <c r="E774" s="88"/>
      <c r="F774" s="335"/>
      <c r="G774" s="88"/>
    </row>
    <row r="775" spans="1:7">
      <c r="A775" s="341"/>
      <c r="C775" s="341"/>
      <c r="D775" s="341"/>
      <c r="E775" s="88"/>
      <c r="F775" s="335"/>
      <c r="G775" s="88"/>
    </row>
    <row r="776" spans="1:7">
      <c r="A776" s="341"/>
      <c r="C776" s="341"/>
      <c r="D776" s="341"/>
      <c r="E776" s="88"/>
      <c r="F776" s="335"/>
      <c r="G776" s="88"/>
    </row>
    <row r="777" spans="1:7">
      <c r="A777" s="341"/>
      <c r="C777" s="341"/>
      <c r="D777" s="341"/>
      <c r="E777" s="88"/>
      <c r="F777" s="335"/>
      <c r="G777" s="88"/>
    </row>
    <row r="778" spans="1:7">
      <c r="A778" s="341"/>
      <c r="C778" s="341"/>
      <c r="D778" s="341"/>
      <c r="E778" s="88"/>
      <c r="F778" s="335"/>
      <c r="G778" s="88"/>
    </row>
    <row r="779" spans="1:7">
      <c r="A779" s="341"/>
      <c r="C779" s="341"/>
      <c r="D779" s="341"/>
      <c r="E779" s="88"/>
      <c r="F779" s="335"/>
      <c r="G779" s="88"/>
    </row>
    <row r="780" spans="1:7">
      <c r="A780" s="341"/>
      <c r="C780" s="341"/>
      <c r="D780" s="341"/>
      <c r="E780" s="88"/>
      <c r="F780" s="335"/>
      <c r="G780" s="88"/>
    </row>
    <row r="781" spans="1:7">
      <c r="A781" s="341"/>
      <c r="C781" s="341"/>
      <c r="D781" s="341"/>
      <c r="E781" s="88"/>
      <c r="F781" s="335"/>
      <c r="G781" s="88"/>
    </row>
    <row r="782" spans="1:7">
      <c r="A782" s="341"/>
      <c r="C782" s="341"/>
      <c r="D782" s="341"/>
      <c r="E782" s="88"/>
      <c r="F782" s="335"/>
      <c r="G782" s="88"/>
    </row>
    <row r="783" spans="1:7">
      <c r="A783" s="341"/>
      <c r="C783" s="341"/>
      <c r="D783" s="341"/>
      <c r="E783" s="88"/>
      <c r="F783" s="335"/>
      <c r="G783" s="88"/>
    </row>
    <row r="784" spans="1:7">
      <c r="A784" s="341"/>
      <c r="C784" s="341"/>
      <c r="D784" s="341"/>
      <c r="E784" s="88"/>
      <c r="F784" s="335"/>
      <c r="G784" s="88"/>
    </row>
    <row r="785" spans="1:7">
      <c r="A785" s="341"/>
      <c r="C785" s="341"/>
      <c r="D785" s="341"/>
      <c r="E785" s="88"/>
      <c r="F785" s="335"/>
      <c r="G785" s="88"/>
    </row>
    <row r="786" spans="1:7">
      <c r="A786" s="341"/>
      <c r="C786" s="341"/>
      <c r="D786" s="341"/>
      <c r="E786" s="88"/>
      <c r="F786" s="335"/>
      <c r="G786" s="88"/>
    </row>
    <row r="787" spans="1:7">
      <c r="A787" s="341"/>
      <c r="C787" s="341"/>
      <c r="D787" s="341"/>
      <c r="E787" s="88"/>
      <c r="F787" s="335"/>
      <c r="G787" s="88"/>
    </row>
    <row r="788" spans="1:7">
      <c r="A788" s="341"/>
      <c r="C788" s="341"/>
      <c r="D788" s="341"/>
      <c r="E788" s="88"/>
      <c r="F788" s="335"/>
      <c r="G788" s="88"/>
    </row>
    <row r="789" spans="1:7">
      <c r="A789" s="341"/>
      <c r="C789" s="341"/>
      <c r="D789" s="341"/>
      <c r="E789" s="88"/>
      <c r="F789" s="335"/>
      <c r="G789" s="88"/>
    </row>
    <row r="790" spans="1:7">
      <c r="A790" s="341"/>
      <c r="C790" s="341"/>
      <c r="D790" s="341"/>
      <c r="E790" s="88"/>
      <c r="F790" s="335"/>
      <c r="G790" s="88"/>
    </row>
    <row r="791" spans="1:7">
      <c r="A791" s="341"/>
      <c r="C791" s="341"/>
      <c r="D791" s="341"/>
      <c r="E791" s="88"/>
      <c r="F791" s="335"/>
      <c r="G791" s="88"/>
    </row>
    <row r="792" spans="1:7">
      <c r="A792" s="341"/>
      <c r="C792" s="341"/>
      <c r="D792" s="341"/>
      <c r="E792" s="88"/>
      <c r="F792" s="335"/>
      <c r="G792" s="88"/>
    </row>
    <row r="793" spans="1:7">
      <c r="A793" s="341"/>
      <c r="C793" s="341"/>
      <c r="D793" s="341"/>
      <c r="E793" s="88"/>
      <c r="F793" s="335"/>
      <c r="G793" s="88"/>
    </row>
    <row r="794" spans="1:7">
      <c r="A794" s="341"/>
      <c r="C794" s="341"/>
      <c r="D794" s="341"/>
      <c r="E794" s="88"/>
      <c r="F794" s="335"/>
      <c r="G794" s="88"/>
    </row>
    <row r="795" spans="1:7">
      <c r="A795" s="341"/>
      <c r="C795" s="341"/>
      <c r="D795" s="341"/>
      <c r="E795" s="88"/>
      <c r="F795" s="335"/>
      <c r="G795" s="88"/>
    </row>
    <row r="796" spans="1:7">
      <c r="A796" s="341"/>
      <c r="C796" s="341"/>
      <c r="D796" s="341"/>
      <c r="E796" s="88"/>
      <c r="F796" s="335"/>
      <c r="G796" s="88"/>
    </row>
    <row r="797" spans="1:7">
      <c r="A797" s="341"/>
      <c r="C797" s="341"/>
      <c r="D797" s="341"/>
      <c r="E797" s="88"/>
      <c r="F797" s="335"/>
      <c r="G797" s="88"/>
    </row>
    <row r="798" spans="1:7">
      <c r="A798" s="341"/>
      <c r="C798" s="341"/>
      <c r="D798" s="341"/>
      <c r="E798" s="88"/>
      <c r="F798" s="335"/>
      <c r="G798" s="88"/>
    </row>
    <row r="799" spans="1:7">
      <c r="A799" s="341"/>
      <c r="C799" s="341"/>
      <c r="D799" s="341"/>
      <c r="E799" s="88"/>
      <c r="F799" s="335"/>
      <c r="G799" s="88"/>
    </row>
    <row r="800" spans="1:7">
      <c r="A800" s="341"/>
      <c r="C800" s="341"/>
      <c r="D800" s="341"/>
      <c r="E800" s="88"/>
      <c r="F800" s="335"/>
      <c r="G800" s="88"/>
    </row>
    <row r="801" spans="1:7">
      <c r="A801" s="341"/>
      <c r="C801" s="341"/>
      <c r="D801" s="341"/>
      <c r="E801" s="88"/>
      <c r="F801" s="335"/>
      <c r="G801" s="88"/>
    </row>
    <row r="802" spans="1:7">
      <c r="A802" s="341"/>
      <c r="C802" s="341"/>
      <c r="D802" s="341"/>
      <c r="E802" s="88"/>
      <c r="F802" s="335"/>
      <c r="G802" s="88"/>
    </row>
    <row r="803" spans="1:7">
      <c r="A803" s="341"/>
      <c r="C803" s="341"/>
      <c r="D803" s="341"/>
      <c r="E803" s="88"/>
      <c r="F803" s="335"/>
      <c r="G803" s="88"/>
    </row>
    <row r="804" spans="1:7">
      <c r="A804" s="341"/>
      <c r="C804" s="341"/>
      <c r="D804" s="341"/>
      <c r="E804" s="88"/>
      <c r="F804" s="335"/>
      <c r="G804" s="88"/>
    </row>
    <row r="805" spans="1:7">
      <c r="A805" s="341"/>
      <c r="C805" s="341"/>
      <c r="D805" s="341"/>
      <c r="E805" s="88"/>
      <c r="F805" s="335"/>
      <c r="G805" s="88"/>
    </row>
    <row r="806" spans="1:7">
      <c r="A806" s="341"/>
      <c r="C806" s="341"/>
      <c r="D806" s="341"/>
      <c r="E806" s="88"/>
      <c r="F806" s="335"/>
      <c r="G806" s="88"/>
    </row>
    <row r="807" spans="1:7">
      <c r="A807" s="341"/>
      <c r="C807" s="341"/>
      <c r="D807" s="341"/>
      <c r="E807" s="88"/>
      <c r="F807" s="335"/>
      <c r="G807" s="88"/>
    </row>
    <row r="808" spans="1:7">
      <c r="A808" s="341"/>
      <c r="C808" s="341"/>
      <c r="D808" s="341"/>
      <c r="E808" s="88"/>
      <c r="F808" s="335"/>
      <c r="G808" s="88"/>
    </row>
    <row r="809" spans="1:7">
      <c r="A809" s="341"/>
      <c r="C809" s="341"/>
      <c r="D809" s="341"/>
      <c r="E809" s="88"/>
      <c r="F809" s="335"/>
      <c r="G809" s="88"/>
    </row>
    <row r="810" spans="1:7">
      <c r="A810" s="341"/>
      <c r="C810" s="341"/>
      <c r="D810" s="341"/>
      <c r="E810" s="88"/>
      <c r="F810" s="335"/>
      <c r="G810" s="88"/>
    </row>
    <row r="811" spans="1:7">
      <c r="A811" s="341"/>
      <c r="C811" s="341"/>
      <c r="D811" s="341"/>
      <c r="E811" s="88"/>
      <c r="F811" s="335"/>
      <c r="G811" s="88"/>
    </row>
    <row r="812" spans="1:7">
      <c r="A812" s="341"/>
      <c r="C812" s="341"/>
      <c r="D812" s="341"/>
      <c r="E812" s="88"/>
      <c r="F812" s="335"/>
      <c r="G812" s="88"/>
    </row>
    <row r="813" spans="1:7">
      <c r="A813" s="341"/>
      <c r="C813" s="341"/>
      <c r="D813" s="341"/>
      <c r="E813" s="88"/>
      <c r="F813" s="335"/>
      <c r="G813" s="88"/>
    </row>
    <row r="814" spans="1:7">
      <c r="A814" s="341"/>
      <c r="C814" s="341"/>
      <c r="D814" s="341"/>
      <c r="E814" s="88"/>
      <c r="F814" s="335"/>
      <c r="G814" s="88"/>
    </row>
    <row r="815" spans="1:7">
      <c r="A815" s="341"/>
      <c r="C815" s="341"/>
      <c r="D815" s="341"/>
      <c r="E815" s="88"/>
      <c r="F815" s="335"/>
      <c r="G815" s="88"/>
    </row>
    <row r="816" spans="1:7">
      <c r="A816" s="341"/>
      <c r="C816" s="341"/>
      <c r="D816" s="341"/>
      <c r="E816" s="88"/>
      <c r="F816" s="335"/>
      <c r="G816" s="88"/>
    </row>
    <row r="817" spans="1:7">
      <c r="A817" s="341"/>
      <c r="C817" s="341"/>
      <c r="D817" s="341"/>
      <c r="E817" s="88"/>
      <c r="F817" s="335"/>
      <c r="G817" s="88"/>
    </row>
    <row r="818" spans="1:7">
      <c r="A818" s="341"/>
      <c r="C818" s="341"/>
      <c r="D818" s="341"/>
      <c r="E818" s="88"/>
      <c r="F818" s="335"/>
      <c r="G818" s="88"/>
    </row>
    <row r="819" spans="1:7">
      <c r="A819" s="341"/>
      <c r="C819" s="341"/>
      <c r="D819" s="341"/>
      <c r="E819" s="88"/>
      <c r="F819" s="335"/>
      <c r="G819" s="88"/>
    </row>
    <row r="820" spans="1:7">
      <c r="A820" s="341"/>
      <c r="C820" s="341"/>
      <c r="D820" s="341"/>
      <c r="E820" s="88"/>
      <c r="F820" s="335"/>
      <c r="G820" s="88"/>
    </row>
    <row r="821" spans="1:7">
      <c r="A821" s="341"/>
      <c r="C821" s="341"/>
      <c r="D821" s="341"/>
      <c r="E821" s="88"/>
      <c r="F821" s="335"/>
      <c r="G821" s="88"/>
    </row>
    <row r="822" spans="1:7">
      <c r="A822" s="341"/>
      <c r="C822" s="341"/>
      <c r="D822" s="341"/>
      <c r="E822" s="88"/>
      <c r="F822" s="335"/>
      <c r="G822" s="88"/>
    </row>
    <row r="823" spans="1:7">
      <c r="A823" s="341"/>
      <c r="C823" s="341"/>
      <c r="D823" s="341"/>
      <c r="E823" s="88"/>
      <c r="F823" s="335"/>
      <c r="G823" s="88"/>
    </row>
    <row r="824" spans="1:7">
      <c r="A824" s="341"/>
      <c r="C824" s="341"/>
      <c r="D824" s="341"/>
      <c r="E824" s="88"/>
      <c r="F824" s="335"/>
      <c r="G824" s="88"/>
    </row>
    <row r="825" spans="1:7">
      <c r="A825" s="341"/>
      <c r="C825" s="341"/>
      <c r="D825" s="341"/>
      <c r="E825" s="88"/>
      <c r="F825" s="335"/>
      <c r="G825" s="88"/>
    </row>
    <row r="826" spans="1:7">
      <c r="A826" s="341"/>
      <c r="C826" s="341"/>
      <c r="D826" s="341"/>
      <c r="E826" s="88"/>
      <c r="F826" s="335"/>
      <c r="G826" s="88"/>
    </row>
    <row r="827" spans="1:7">
      <c r="A827" s="341"/>
      <c r="C827" s="341"/>
      <c r="D827" s="341"/>
      <c r="E827" s="88"/>
      <c r="F827" s="335"/>
      <c r="G827" s="88"/>
    </row>
    <row r="828" spans="1:7">
      <c r="A828" s="341"/>
      <c r="C828" s="341"/>
      <c r="D828" s="341"/>
      <c r="E828" s="88"/>
      <c r="F828" s="335"/>
      <c r="G828" s="88"/>
    </row>
    <row r="829" spans="1:7">
      <c r="A829" s="341"/>
      <c r="C829" s="341"/>
      <c r="D829" s="341"/>
      <c r="E829" s="88"/>
      <c r="F829" s="335"/>
      <c r="G829" s="88"/>
    </row>
    <row r="830" spans="1:7">
      <c r="A830" s="341"/>
      <c r="C830" s="341"/>
      <c r="D830" s="341"/>
      <c r="E830" s="88"/>
      <c r="F830" s="335"/>
      <c r="G830" s="88"/>
    </row>
    <row r="831" spans="1:7">
      <c r="A831" s="341"/>
      <c r="C831" s="341"/>
      <c r="D831" s="341"/>
      <c r="E831" s="88"/>
      <c r="F831" s="335"/>
      <c r="G831" s="88"/>
    </row>
    <row r="832" spans="1:7">
      <c r="A832" s="341"/>
      <c r="C832" s="341"/>
      <c r="D832" s="341"/>
      <c r="E832" s="88"/>
      <c r="F832" s="335"/>
      <c r="G832" s="88"/>
    </row>
    <row r="833" spans="1:7">
      <c r="A833" s="341"/>
      <c r="C833" s="341"/>
      <c r="D833" s="341"/>
      <c r="E833" s="88"/>
      <c r="F833" s="335"/>
      <c r="G833" s="88"/>
    </row>
    <row r="834" spans="1:7">
      <c r="A834" s="341"/>
      <c r="C834" s="341"/>
      <c r="D834" s="341"/>
      <c r="E834" s="88"/>
      <c r="F834" s="335"/>
      <c r="G834" s="88"/>
    </row>
    <row r="835" spans="1:7">
      <c r="A835" s="341"/>
      <c r="C835" s="341"/>
      <c r="D835" s="341"/>
      <c r="E835" s="88"/>
      <c r="F835" s="335"/>
      <c r="G835" s="88"/>
    </row>
    <row r="836" spans="1:7">
      <c r="A836" s="341"/>
      <c r="C836" s="341"/>
      <c r="D836" s="341"/>
      <c r="E836" s="88"/>
      <c r="F836" s="335"/>
      <c r="G836" s="88"/>
    </row>
    <row r="837" spans="1:7">
      <c r="A837" s="341"/>
      <c r="C837" s="341"/>
      <c r="D837" s="341"/>
      <c r="E837" s="88"/>
      <c r="F837" s="335"/>
      <c r="G837" s="88"/>
    </row>
    <row r="838" spans="1:7">
      <c r="A838" s="341"/>
      <c r="C838" s="341"/>
      <c r="D838" s="341"/>
      <c r="E838" s="88"/>
      <c r="F838" s="335"/>
      <c r="G838" s="88"/>
    </row>
    <row r="839" spans="1:7">
      <c r="A839" s="341"/>
      <c r="C839" s="341"/>
      <c r="D839" s="341"/>
      <c r="E839" s="88"/>
      <c r="F839" s="335"/>
      <c r="G839" s="88"/>
    </row>
    <row r="840" spans="1:7">
      <c r="A840" s="341"/>
      <c r="C840" s="341"/>
      <c r="D840" s="341"/>
      <c r="E840" s="88"/>
      <c r="F840" s="335"/>
      <c r="G840" s="88"/>
    </row>
    <row r="841" spans="1:7">
      <c r="A841" s="341"/>
      <c r="C841" s="341"/>
      <c r="D841" s="341"/>
      <c r="E841" s="88"/>
      <c r="F841" s="335"/>
      <c r="G841" s="88"/>
    </row>
    <row r="842" spans="1:7">
      <c r="A842" s="341"/>
      <c r="C842" s="341"/>
      <c r="D842" s="341"/>
      <c r="E842" s="88"/>
      <c r="F842" s="335"/>
      <c r="G842" s="88"/>
    </row>
    <row r="843" spans="1:7">
      <c r="A843" s="341"/>
      <c r="C843" s="341"/>
      <c r="D843" s="341"/>
      <c r="E843" s="88"/>
      <c r="F843" s="335"/>
      <c r="G843" s="88"/>
    </row>
    <row r="844" spans="1:7">
      <c r="A844" s="341"/>
      <c r="C844" s="341"/>
      <c r="D844" s="341"/>
      <c r="E844" s="88"/>
      <c r="F844" s="335"/>
      <c r="G844" s="88"/>
    </row>
    <row r="845" spans="1:7">
      <c r="A845" s="341"/>
      <c r="C845" s="341"/>
      <c r="D845" s="341"/>
      <c r="E845" s="88"/>
      <c r="F845" s="335"/>
      <c r="G845" s="88"/>
    </row>
    <row r="846" spans="1:7">
      <c r="A846" s="341"/>
      <c r="C846" s="341"/>
      <c r="D846" s="341"/>
      <c r="E846" s="88"/>
      <c r="F846" s="335"/>
      <c r="G846" s="88"/>
    </row>
    <row r="847" spans="1:7">
      <c r="A847" s="341"/>
      <c r="C847" s="341"/>
      <c r="D847" s="341"/>
      <c r="E847" s="88"/>
      <c r="F847" s="335"/>
      <c r="G847" s="88"/>
    </row>
    <row r="848" spans="1:7">
      <c r="A848" s="341"/>
      <c r="C848" s="341"/>
      <c r="D848" s="341"/>
      <c r="E848" s="88"/>
      <c r="F848" s="335"/>
      <c r="G848" s="88"/>
    </row>
    <row r="849" spans="1:7">
      <c r="A849" s="341"/>
      <c r="C849" s="341"/>
      <c r="D849" s="341"/>
      <c r="E849" s="88"/>
      <c r="F849" s="335"/>
      <c r="G849" s="88"/>
    </row>
    <row r="850" spans="1:7">
      <c r="A850" s="341"/>
      <c r="C850" s="341"/>
      <c r="D850" s="341"/>
      <c r="E850" s="88"/>
      <c r="F850" s="335"/>
      <c r="G850" s="88"/>
    </row>
    <row r="851" spans="1:7">
      <c r="A851" s="341"/>
      <c r="C851" s="341"/>
      <c r="D851" s="341"/>
      <c r="E851" s="88"/>
      <c r="F851" s="335"/>
      <c r="G851" s="88"/>
    </row>
    <row r="852" spans="1:7">
      <c r="A852" s="341"/>
      <c r="C852" s="341"/>
      <c r="D852" s="341"/>
      <c r="E852" s="88"/>
      <c r="F852" s="335"/>
      <c r="G852" s="88"/>
    </row>
    <row r="853" spans="1:7">
      <c r="A853" s="341"/>
      <c r="C853" s="341"/>
      <c r="D853" s="341"/>
      <c r="E853" s="88"/>
      <c r="F853" s="335"/>
      <c r="G853" s="88"/>
    </row>
    <row r="854" spans="1:7">
      <c r="A854" s="341"/>
      <c r="C854" s="341"/>
      <c r="D854" s="341"/>
      <c r="E854" s="88"/>
      <c r="F854" s="335"/>
      <c r="G854" s="88"/>
    </row>
    <row r="855" spans="1:7">
      <c r="A855" s="341"/>
      <c r="C855" s="341"/>
      <c r="D855" s="341"/>
      <c r="E855" s="88"/>
      <c r="F855" s="335"/>
      <c r="G855" s="88"/>
    </row>
    <row r="856" spans="1:7">
      <c r="A856" s="341"/>
      <c r="C856" s="341"/>
      <c r="D856" s="341"/>
      <c r="E856" s="88"/>
      <c r="F856" s="335"/>
      <c r="G856" s="88"/>
    </row>
    <row r="857" spans="1:7">
      <c r="A857" s="341"/>
      <c r="C857" s="341"/>
      <c r="D857" s="341"/>
      <c r="E857" s="88"/>
      <c r="F857" s="335"/>
      <c r="G857" s="88"/>
    </row>
    <row r="858" spans="1:7">
      <c r="A858" s="341"/>
      <c r="C858" s="341"/>
      <c r="D858" s="341"/>
      <c r="E858" s="88"/>
      <c r="F858" s="335"/>
      <c r="G858" s="88"/>
    </row>
    <row r="859" spans="1:7">
      <c r="A859" s="341"/>
      <c r="C859" s="341"/>
      <c r="D859" s="341"/>
      <c r="E859" s="88"/>
      <c r="F859" s="335"/>
      <c r="G859" s="88"/>
    </row>
    <row r="860" spans="1:7">
      <c r="A860" s="341"/>
      <c r="C860" s="341"/>
      <c r="D860" s="341"/>
      <c r="E860" s="88"/>
      <c r="F860" s="335"/>
      <c r="G860" s="88"/>
    </row>
    <row r="861" spans="1:7">
      <c r="A861" s="341"/>
      <c r="C861" s="341"/>
      <c r="D861" s="341"/>
      <c r="E861" s="88"/>
      <c r="F861" s="335"/>
      <c r="G861" s="88"/>
    </row>
    <row r="862" spans="1:7">
      <c r="A862" s="341"/>
      <c r="C862" s="341"/>
      <c r="D862" s="341"/>
      <c r="E862" s="88"/>
      <c r="F862" s="335"/>
      <c r="G862" s="88"/>
    </row>
    <row r="863" spans="1:7">
      <c r="A863" s="341"/>
      <c r="C863" s="341"/>
      <c r="D863" s="341"/>
      <c r="E863" s="88"/>
      <c r="F863" s="335"/>
      <c r="G863" s="88"/>
    </row>
    <row r="864" spans="1:7">
      <c r="A864" s="341"/>
      <c r="C864" s="341"/>
      <c r="D864" s="341"/>
      <c r="E864" s="88"/>
      <c r="F864" s="335"/>
      <c r="G864" s="88"/>
    </row>
    <row r="865" spans="1:7">
      <c r="A865" s="341"/>
      <c r="C865" s="341"/>
      <c r="D865" s="341"/>
      <c r="E865" s="88"/>
      <c r="F865" s="335"/>
      <c r="G865" s="88"/>
    </row>
    <row r="866" spans="1:7">
      <c r="A866" s="341"/>
      <c r="C866" s="341"/>
      <c r="D866" s="341"/>
      <c r="E866" s="88"/>
      <c r="F866" s="335"/>
      <c r="G866" s="88"/>
    </row>
    <row r="867" spans="1:7">
      <c r="A867" s="341"/>
      <c r="C867" s="341"/>
      <c r="D867" s="341"/>
      <c r="E867" s="88"/>
      <c r="F867" s="335"/>
      <c r="G867" s="88"/>
    </row>
    <row r="868" spans="1:7">
      <c r="A868" s="341"/>
      <c r="C868" s="341"/>
      <c r="D868" s="341"/>
      <c r="E868" s="88"/>
      <c r="F868" s="335"/>
      <c r="G868" s="88"/>
    </row>
    <row r="869" spans="1:7">
      <c r="A869" s="341"/>
      <c r="C869" s="341"/>
      <c r="D869" s="341"/>
      <c r="E869" s="88"/>
      <c r="F869" s="335"/>
      <c r="G869" s="88"/>
    </row>
    <row r="870" spans="1:7">
      <c r="A870" s="341"/>
      <c r="C870" s="341"/>
      <c r="D870" s="341"/>
      <c r="E870" s="88"/>
      <c r="F870" s="335"/>
      <c r="G870" s="88"/>
    </row>
    <row r="871" spans="1:7">
      <c r="A871" s="341"/>
      <c r="C871" s="341"/>
      <c r="D871" s="341"/>
      <c r="E871" s="88"/>
      <c r="F871" s="335"/>
      <c r="G871" s="88"/>
    </row>
    <row r="872" spans="1:7">
      <c r="A872" s="341"/>
      <c r="C872" s="341"/>
      <c r="D872" s="341"/>
      <c r="E872" s="88"/>
      <c r="F872" s="335"/>
      <c r="G872" s="88"/>
    </row>
    <row r="873" spans="1:7">
      <c r="A873" s="341"/>
      <c r="C873" s="341"/>
      <c r="D873" s="341"/>
      <c r="E873" s="88"/>
      <c r="F873" s="335"/>
      <c r="G873" s="88"/>
    </row>
    <row r="874" spans="1:7">
      <c r="A874" s="341"/>
      <c r="C874" s="341"/>
      <c r="D874" s="341"/>
      <c r="E874" s="88"/>
      <c r="F874" s="335"/>
      <c r="G874" s="88"/>
    </row>
    <row r="875" spans="1:7">
      <c r="A875" s="341"/>
      <c r="C875" s="341"/>
      <c r="D875" s="341"/>
      <c r="E875" s="88"/>
      <c r="F875" s="335"/>
      <c r="G875" s="88"/>
    </row>
    <row r="876" spans="1:7">
      <c r="A876" s="341"/>
      <c r="C876" s="341"/>
      <c r="D876" s="341"/>
      <c r="E876" s="88"/>
      <c r="F876" s="335"/>
      <c r="G876" s="88"/>
    </row>
    <row r="877" spans="1:7">
      <c r="A877" s="341"/>
      <c r="C877" s="341"/>
      <c r="D877" s="341"/>
      <c r="E877" s="88"/>
      <c r="F877" s="335"/>
      <c r="G877" s="88"/>
    </row>
    <row r="878" spans="1:7">
      <c r="A878" s="341"/>
      <c r="C878" s="341"/>
      <c r="D878" s="341"/>
      <c r="E878" s="88"/>
      <c r="F878" s="335"/>
      <c r="G878" s="88"/>
    </row>
    <row r="879" spans="1:7">
      <c r="A879" s="341"/>
      <c r="C879" s="341"/>
      <c r="D879" s="341"/>
      <c r="E879" s="88"/>
      <c r="F879" s="335"/>
      <c r="G879" s="88"/>
    </row>
    <row r="880" spans="1:7">
      <c r="A880" s="341"/>
      <c r="C880" s="341"/>
      <c r="D880" s="341"/>
      <c r="E880" s="88"/>
      <c r="F880" s="335"/>
      <c r="G880" s="88"/>
    </row>
    <row r="881" spans="1:7">
      <c r="A881" s="341"/>
      <c r="C881" s="341"/>
      <c r="D881" s="341"/>
      <c r="E881" s="88"/>
      <c r="F881" s="335"/>
      <c r="G881" s="88"/>
    </row>
    <row r="882" spans="1:7">
      <c r="A882" s="341"/>
      <c r="C882" s="341"/>
      <c r="D882" s="341"/>
      <c r="E882" s="88"/>
      <c r="F882" s="335"/>
      <c r="G882" s="88"/>
    </row>
    <row r="883" spans="1:7">
      <c r="A883" s="341"/>
      <c r="C883" s="341"/>
      <c r="D883" s="341"/>
      <c r="E883" s="88"/>
      <c r="F883" s="335"/>
      <c r="G883" s="88"/>
    </row>
    <row r="884" spans="1:7">
      <c r="A884" s="341"/>
      <c r="C884" s="341"/>
      <c r="D884" s="341"/>
      <c r="E884" s="88"/>
      <c r="F884" s="335"/>
      <c r="G884" s="88"/>
    </row>
    <row r="885" spans="1:7">
      <c r="A885" s="341"/>
      <c r="C885" s="341"/>
      <c r="D885" s="341"/>
      <c r="E885" s="88"/>
      <c r="F885" s="335"/>
      <c r="G885" s="88"/>
    </row>
    <row r="886" spans="1:7">
      <c r="A886" s="341"/>
      <c r="C886" s="341"/>
      <c r="D886" s="341"/>
      <c r="E886" s="88"/>
      <c r="F886" s="335"/>
      <c r="G886" s="88"/>
    </row>
    <row r="887" spans="1:7">
      <c r="A887" s="341"/>
      <c r="C887" s="341"/>
      <c r="D887" s="341"/>
      <c r="E887" s="88"/>
      <c r="F887" s="335"/>
      <c r="G887" s="88"/>
    </row>
    <row r="888" spans="1:7">
      <c r="A888" s="341"/>
      <c r="C888" s="341"/>
      <c r="D888" s="341"/>
      <c r="E888" s="88"/>
      <c r="F888" s="335"/>
      <c r="G888" s="88"/>
    </row>
    <row r="889" spans="1:7">
      <c r="A889" s="341"/>
      <c r="C889" s="341"/>
      <c r="D889" s="341"/>
      <c r="E889" s="88"/>
      <c r="F889" s="335"/>
      <c r="G889" s="88"/>
    </row>
    <row r="890" spans="1:7">
      <c r="A890" s="341"/>
      <c r="C890" s="341"/>
      <c r="D890" s="341"/>
      <c r="E890" s="88"/>
      <c r="F890" s="335"/>
      <c r="G890" s="88"/>
    </row>
    <row r="891" spans="1:7">
      <c r="A891" s="341"/>
      <c r="C891" s="341"/>
      <c r="D891" s="341"/>
      <c r="E891" s="88"/>
      <c r="F891" s="335"/>
      <c r="G891" s="88"/>
    </row>
    <row r="892" spans="1:7">
      <c r="A892" s="341"/>
      <c r="C892" s="341"/>
      <c r="D892" s="341"/>
      <c r="E892" s="88"/>
      <c r="F892" s="335"/>
      <c r="G892" s="88"/>
    </row>
    <row r="893" spans="1:7">
      <c r="A893" s="341"/>
      <c r="C893" s="341"/>
      <c r="D893" s="341"/>
      <c r="E893" s="88"/>
      <c r="F893" s="335"/>
      <c r="G893" s="88"/>
    </row>
    <row r="894" spans="1:7">
      <c r="A894" s="341"/>
      <c r="C894" s="341"/>
      <c r="D894" s="341"/>
      <c r="E894" s="88"/>
      <c r="F894" s="335"/>
      <c r="G894" s="88"/>
    </row>
    <row r="895" spans="1:7">
      <c r="A895" s="341"/>
      <c r="C895" s="341"/>
      <c r="D895" s="341"/>
      <c r="E895" s="88"/>
      <c r="F895" s="335"/>
      <c r="G895" s="88"/>
    </row>
    <row r="896" spans="1:7">
      <c r="A896" s="341"/>
      <c r="C896" s="341"/>
      <c r="D896" s="341"/>
      <c r="E896" s="88"/>
      <c r="F896" s="335"/>
      <c r="G896" s="88"/>
    </row>
    <row r="897" spans="1:7">
      <c r="A897" s="341"/>
      <c r="C897" s="341"/>
      <c r="D897" s="341"/>
      <c r="E897" s="88"/>
      <c r="F897" s="335"/>
      <c r="G897" s="88"/>
    </row>
    <row r="898" spans="1:7">
      <c r="A898" s="341"/>
      <c r="C898" s="341"/>
      <c r="D898" s="341"/>
      <c r="E898" s="88"/>
      <c r="F898" s="335"/>
      <c r="G898" s="88"/>
    </row>
    <row r="899" spans="1:7">
      <c r="A899" s="341"/>
      <c r="C899" s="341"/>
      <c r="D899" s="341"/>
      <c r="E899" s="88"/>
      <c r="F899" s="335"/>
      <c r="G899" s="88"/>
    </row>
    <row r="900" spans="1:7">
      <c r="A900" s="341"/>
      <c r="C900" s="341"/>
      <c r="D900" s="341"/>
      <c r="E900" s="88"/>
      <c r="F900" s="335"/>
      <c r="G900" s="88"/>
    </row>
    <row r="901" spans="1:7">
      <c r="A901" s="341"/>
      <c r="C901" s="341"/>
      <c r="D901" s="341"/>
      <c r="E901" s="88"/>
      <c r="F901" s="335"/>
      <c r="G901" s="88"/>
    </row>
    <row r="902" spans="1:7">
      <c r="A902" s="341"/>
      <c r="C902" s="341"/>
      <c r="D902" s="341"/>
      <c r="E902" s="88"/>
      <c r="F902" s="335"/>
      <c r="G902" s="88"/>
    </row>
    <row r="903" spans="1:7">
      <c r="A903" s="341"/>
      <c r="C903" s="341"/>
      <c r="D903" s="341"/>
      <c r="E903" s="88"/>
      <c r="F903" s="335"/>
      <c r="G903" s="88"/>
    </row>
    <row r="904" spans="1:7">
      <c r="A904" s="341"/>
      <c r="C904" s="341"/>
      <c r="D904" s="341"/>
      <c r="E904" s="88"/>
      <c r="F904" s="335"/>
      <c r="G904" s="88"/>
    </row>
    <row r="905" spans="1:7">
      <c r="A905" s="341"/>
      <c r="C905" s="341"/>
      <c r="D905" s="341"/>
      <c r="E905" s="88"/>
      <c r="F905" s="335"/>
      <c r="G905" s="88"/>
    </row>
    <row r="906" spans="1:7">
      <c r="A906" s="341"/>
      <c r="C906" s="341"/>
      <c r="D906" s="341"/>
      <c r="E906" s="88"/>
      <c r="F906" s="335"/>
      <c r="G906" s="88"/>
    </row>
    <row r="907" spans="1:7">
      <c r="A907" s="341"/>
      <c r="C907" s="341"/>
      <c r="D907" s="341"/>
      <c r="E907" s="88"/>
      <c r="F907" s="335"/>
      <c r="G907" s="88"/>
    </row>
    <row r="908" spans="1:7">
      <c r="A908" s="341"/>
      <c r="C908" s="341"/>
      <c r="D908" s="341"/>
      <c r="E908" s="88"/>
      <c r="F908" s="335"/>
      <c r="G908" s="88"/>
    </row>
    <row r="909" spans="1:7">
      <c r="A909" s="341"/>
      <c r="C909" s="341"/>
      <c r="D909" s="341"/>
      <c r="E909" s="88"/>
      <c r="F909" s="335"/>
      <c r="G909" s="88"/>
    </row>
    <row r="910" spans="1:7">
      <c r="A910" s="341"/>
      <c r="C910" s="341"/>
      <c r="D910" s="341"/>
      <c r="E910" s="88"/>
      <c r="F910" s="335"/>
      <c r="G910" s="88"/>
    </row>
    <row r="911" spans="1:7">
      <c r="A911" s="341"/>
      <c r="C911" s="341"/>
      <c r="D911" s="341"/>
      <c r="E911" s="88"/>
      <c r="F911" s="335"/>
      <c r="G911" s="88"/>
    </row>
    <row r="912" spans="1:7">
      <c r="A912" s="341"/>
      <c r="C912" s="341"/>
      <c r="D912" s="341"/>
      <c r="E912" s="88"/>
      <c r="F912" s="335"/>
      <c r="G912" s="88"/>
    </row>
    <row r="913" spans="1:7">
      <c r="A913" s="341"/>
      <c r="C913" s="341"/>
      <c r="D913" s="341"/>
      <c r="E913" s="88"/>
      <c r="F913" s="335"/>
      <c r="G913" s="88"/>
    </row>
    <row r="914" spans="1:7">
      <c r="A914" s="341"/>
      <c r="C914" s="341"/>
      <c r="D914" s="341"/>
      <c r="E914" s="88"/>
      <c r="F914" s="335"/>
      <c r="G914" s="88"/>
    </row>
    <row r="915" spans="1:7">
      <c r="A915" s="341"/>
      <c r="C915" s="341"/>
      <c r="D915" s="341"/>
      <c r="E915" s="88"/>
      <c r="F915" s="335"/>
      <c r="G915" s="88"/>
    </row>
    <row r="916" spans="1:7">
      <c r="A916" s="341"/>
      <c r="C916" s="341"/>
      <c r="D916" s="341"/>
      <c r="E916" s="88"/>
      <c r="F916" s="335"/>
      <c r="G916" s="88"/>
    </row>
    <row r="917" spans="1:7">
      <c r="A917" s="341"/>
      <c r="C917" s="341"/>
      <c r="D917" s="341"/>
      <c r="E917" s="88"/>
      <c r="F917" s="335"/>
      <c r="G917" s="88"/>
    </row>
    <row r="918" spans="1:7">
      <c r="A918" s="341"/>
      <c r="C918" s="341"/>
      <c r="D918" s="341"/>
      <c r="E918" s="88"/>
      <c r="F918" s="335"/>
      <c r="G918" s="88"/>
    </row>
    <row r="919" spans="1:7">
      <c r="A919" s="341"/>
      <c r="C919" s="341"/>
      <c r="D919" s="341"/>
      <c r="E919" s="88"/>
      <c r="F919" s="335"/>
      <c r="G919" s="88"/>
    </row>
    <row r="920" spans="1:7">
      <c r="A920" s="341"/>
      <c r="C920" s="341"/>
      <c r="D920" s="341"/>
      <c r="E920" s="88"/>
      <c r="F920" s="335"/>
      <c r="G920" s="88"/>
    </row>
    <row r="921" spans="1:7">
      <c r="A921" s="341"/>
      <c r="C921" s="341"/>
      <c r="D921" s="341"/>
      <c r="E921" s="88"/>
      <c r="F921" s="335"/>
      <c r="G921" s="88"/>
    </row>
    <row r="922" spans="1:7">
      <c r="A922" s="341"/>
      <c r="C922" s="341"/>
      <c r="D922" s="341"/>
      <c r="E922" s="88"/>
      <c r="F922" s="335"/>
      <c r="G922" s="88"/>
    </row>
    <row r="923" spans="1:7">
      <c r="A923" s="341"/>
      <c r="C923" s="341"/>
      <c r="D923" s="341"/>
      <c r="E923" s="88"/>
      <c r="F923" s="335"/>
      <c r="G923" s="88"/>
    </row>
    <row r="924" spans="1:7">
      <c r="A924" s="341"/>
      <c r="C924" s="341"/>
      <c r="D924" s="341"/>
      <c r="E924" s="88"/>
      <c r="F924" s="335"/>
      <c r="G924" s="88"/>
    </row>
    <row r="925" spans="1:7">
      <c r="A925" s="341"/>
      <c r="C925" s="341"/>
      <c r="D925" s="341"/>
      <c r="E925" s="88"/>
      <c r="F925" s="335"/>
      <c r="G925" s="88"/>
    </row>
    <row r="926" spans="1:7">
      <c r="A926" s="341"/>
      <c r="C926" s="341"/>
      <c r="D926" s="341"/>
      <c r="E926" s="88"/>
      <c r="F926" s="335"/>
      <c r="G926" s="88"/>
    </row>
    <row r="927" spans="1:7">
      <c r="A927" s="341"/>
      <c r="C927" s="341"/>
      <c r="D927" s="341"/>
      <c r="E927" s="88"/>
      <c r="F927" s="335"/>
      <c r="G927" s="88"/>
    </row>
    <row r="928" spans="1:7">
      <c r="A928" s="341"/>
      <c r="C928" s="341"/>
      <c r="D928" s="341"/>
      <c r="E928" s="88"/>
      <c r="F928" s="335"/>
      <c r="G928" s="88"/>
    </row>
    <row r="929" spans="1:7">
      <c r="A929" s="341"/>
      <c r="C929" s="341"/>
      <c r="D929" s="341"/>
      <c r="E929" s="88"/>
      <c r="F929" s="335"/>
      <c r="G929" s="88"/>
    </row>
    <row r="930" spans="1:7">
      <c r="A930" s="341"/>
      <c r="C930" s="341"/>
      <c r="D930" s="341"/>
      <c r="E930" s="88"/>
      <c r="F930" s="335"/>
      <c r="G930" s="88"/>
    </row>
    <row r="931" spans="1:7">
      <c r="A931" s="341"/>
      <c r="C931" s="341"/>
      <c r="D931" s="341"/>
      <c r="E931" s="88"/>
      <c r="F931" s="335"/>
      <c r="G931" s="88"/>
    </row>
    <row r="932" spans="1:7">
      <c r="A932" s="341"/>
      <c r="C932" s="341"/>
      <c r="D932" s="341"/>
      <c r="E932" s="88"/>
      <c r="F932" s="335"/>
      <c r="G932" s="88"/>
    </row>
    <row r="933" spans="1:7">
      <c r="A933" s="341"/>
      <c r="C933" s="341"/>
      <c r="D933" s="341"/>
      <c r="E933" s="88"/>
      <c r="F933" s="335"/>
      <c r="G933" s="88"/>
    </row>
    <row r="934" spans="1:7">
      <c r="A934" s="341"/>
      <c r="C934" s="341"/>
      <c r="D934" s="341"/>
      <c r="E934" s="88"/>
      <c r="F934" s="335"/>
      <c r="G934" s="88"/>
    </row>
    <row r="935" spans="1:7">
      <c r="A935" s="341"/>
      <c r="C935" s="341"/>
      <c r="D935" s="341"/>
      <c r="E935" s="88"/>
      <c r="F935" s="335"/>
      <c r="G935" s="88"/>
    </row>
    <row r="936" spans="1:7">
      <c r="A936" s="341"/>
      <c r="C936" s="341"/>
      <c r="D936" s="341"/>
      <c r="E936" s="88"/>
      <c r="F936" s="335"/>
      <c r="G936" s="88"/>
    </row>
    <row r="937" spans="1:7">
      <c r="A937" s="341"/>
      <c r="C937" s="341"/>
      <c r="D937" s="341"/>
      <c r="E937" s="88"/>
      <c r="F937" s="335"/>
      <c r="G937" s="88"/>
    </row>
    <row r="938" spans="1:7">
      <c r="A938" s="341"/>
      <c r="C938" s="341"/>
      <c r="D938" s="341"/>
      <c r="E938" s="88"/>
      <c r="F938" s="335"/>
      <c r="G938" s="88"/>
    </row>
    <row r="939" spans="1:7">
      <c r="A939" s="341"/>
      <c r="C939" s="341"/>
      <c r="D939" s="341"/>
      <c r="E939" s="88"/>
      <c r="F939" s="335"/>
      <c r="G939" s="88"/>
    </row>
    <row r="940" spans="1:7">
      <c r="A940" s="341"/>
      <c r="C940" s="341"/>
      <c r="D940" s="341"/>
      <c r="E940" s="88"/>
      <c r="F940" s="335"/>
      <c r="G940" s="88"/>
    </row>
    <row r="941" spans="1:7">
      <c r="A941" s="341"/>
      <c r="C941" s="341"/>
      <c r="D941" s="341"/>
      <c r="E941" s="88"/>
      <c r="F941" s="335"/>
      <c r="G941" s="88"/>
    </row>
    <row r="942" spans="1:7">
      <c r="A942" s="341"/>
      <c r="C942" s="341"/>
      <c r="D942" s="341"/>
      <c r="E942" s="88"/>
      <c r="F942" s="335"/>
      <c r="G942" s="88"/>
    </row>
    <row r="943" spans="1:7">
      <c r="A943" s="341"/>
      <c r="C943" s="341"/>
      <c r="D943" s="341"/>
      <c r="E943" s="88"/>
      <c r="F943" s="335"/>
      <c r="G943" s="88"/>
    </row>
    <row r="944" spans="1:7">
      <c r="A944" s="341"/>
      <c r="C944" s="341"/>
      <c r="D944" s="341"/>
      <c r="E944" s="88"/>
      <c r="F944" s="335"/>
      <c r="G944" s="88"/>
    </row>
    <row r="945" spans="1:7">
      <c r="A945" s="341"/>
      <c r="C945" s="341"/>
      <c r="D945" s="341"/>
      <c r="E945" s="88"/>
      <c r="F945" s="335"/>
      <c r="G945" s="88"/>
    </row>
    <row r="946" spans="1:7">
      <c r="A946" s="341"/>
      <c r="C946" s="341"/>
      <c r="D946" s="341"/>
      <c r="E946" s="88"/>
      <c r="F946" s="335"/>
      <c r="G946" s="88"/>
    </row>
    <row r="947" spans="1:7">
      <c r="A947" s="341"/>
      <c r="C947" s="341"/>
      <c r="D947" s="341"/>
      <c r="E947" s="88"/>
      <c r="F947" s="335"/>
      <c r="G947" s="88"/>
    </row>
    <row r="948" spans="1:7">
      <c r="A948" s="341"/>
      <c r="C948" s="341"/>
      <c r="D948" s="341"/>
      <c r="E948" s="88"/>
      <c r="F948" s="335"/>
      <c r="G948" s="88"/>
    </row>
    <row r="949" spans="1:7">
      <c r="A949" s="341"/>
      <c r="C949" s="341"/>
      <c r="D949" s="341"/>
      <c r="E949" s="88"/>
      <c r="F949" s="335"/>
      <c r="G949" s="88"/>
    </row>
    <row r="950" spans="1:7">
      <c r="A950" s="341"/>
      <c r="C950" s="341"/>
      <c r="D950" s="341"/>
      <c r="E950" s="88"/>
      <c r="F950" s="335"/>
      <c r="G950" s="88"/>
    </row>
    <row r="951" spans="1:7">
      <c r="A951" s="341"/>
      <c r="C951" s="341"/>
      <c r="D951" s="341"/>
      <c r="E951" s="88"/>
      <c r="F951" s="335"/>
      <c r="G951" s="88"/>
    </row>
    <row r="952" spans="1:7">
      <c r="A952" s="341"/>
      <c r="C952" s="341"/>
      <c r="D952" s="341"/>
      <c r="E952" s="88"/>
      <c r="F952" s="335"/>
      <c r="G952" s="88"/>
    </row>
    <row r="953" spans="1:7">
      <c r="A953" s="341"/>
      <c r="C953" s="341"/>
      <c r="D953" s="341"/>
      <c r="E953" s="88"/>
      <c r="F953" s="335"/>
      <c r="G953" s="88"/>
    </row>
    <row r="954" spans="1:7">
      <c r="A954" s="341"/>
      <c r="C954" s="341"/>
      <c r="D954" s="341"/>
      <c r="E954" s="88"/>
      <c r="F954" s="335"/>
      <c r="G954" s="88"/>
    </row>
    <row r="955" spans="1:7">
      <c r="A955" s="341"/>
      <c r="C955" s="341"/>
      <c r="D955" s="341"/>
      <c r="E955" s="88"/>
      <c r="F955" s="335"/>
      <c r="G955" s="88"/>
    </row>
    <row r="956" spans="1:7">
      <c r="A956" s="341"/>
      <c r="C956" s="341"/>
      <c r="D956" s="341"/>
      <c r="E956" s="88"/>
      <c r="F956" s="335"/>
      <c r="G956" s="88"/>
    </row>
    <row r="957" spans="1:7">
      <c r="A957" s="341"/>
      <c r="C957" s="341"/>
      <c r="D957" s="341"/>
      <c r="E957" s="88"/>
      <c r="F957" s="335"/>
      <c r="G957" s="88"/>
    </row>
    <row r="958" spans="1:7">
      <c r="A958" s="341"/>
      <c r="C958" s="341"/>
      <c r="D958" s="341"/>
      <c r="E958" s="88"/>
      <c r="F958" s="335"/>
      <c r="G958" s="88"/>
    </row>
    <row r="959" spans="1:7">
      <c r="A959" s="341"/>
      <c r="C959" s="341"/>
      <c r="D959" s="341"/>
      <c r="E959" s="88"/>
      <c r="F959" s="335"/>
      <c r="G959" s="88"/>
    </row>
    <row r="960" spans="1:7">
      <c r="A960" s="341"/>
      <c r="C960" s="341"/>
      <c r="D960" s="341"/>
      <c r="E960" s="88"/>
      <c r="F960" s="335"/>
      <c r="G960" s="88"/>
    </row>
    <row r="961" spans="1:7">
      <c r="A961" s="341"/>
      <c r="C961" s="341"/>
      <c r="D961" s="341"/>
      <c r="E961" s="88"/>
      <c r="F961" s="335"/>
      <c r="G961" s="88"/>
    </row>
    <row r="962" spans="1:7">
      <c r="A962" s="341"/>
      <c r="C962" s="341"/>
      <c r="D962" s="341"/>
      <c r="E962" s="88"/>
      <c r="F962" s="335"/>
      <c r="G962" s="88"/>
    </row>
    <row r="963" spans="1:7">
      <c r="A963" s="341"/>
      <c r="C963" s="341"/>
      <c r="D963" s="341"/>
      <c r="E963" s="88"/>
      <c r="F963" s="335"/>
      <c r="G963" s="88"/>
    </row>
    <row r="964" spans="1:7">
      <c r="A964" s="341"/>
      <c r="C964" s="341"/>
      <c r="D964" s="341"/>
      <c r="E964" s="88"/>
      <c r="F964" s="335"/>
      <c r="G964" s="88"/>
    </row>
    <row r="965" spans="1:7">
      <c r="A965" s="341"/>
      <c r="C965" s="341"/>
      <c r="D965" s="341"/>
      <c r="E965" s="88"/>
      <c r="F965" s="335"/>
      <c r="G965" s="88"/>
    </row>
    <row r="966" spans="1:7">
      <c r="A966" s="341"/>
      <c r="C966" s="341"/>
      <c r="D966" s="341"/>
      <c r="E966" s="88"/>
      <c r="F966" s="335"/>
      <c r="G966" s="88"/>
    </row>
    <row r="967" spans="1:7">
      <c r="A967" s="341"/>
      <c r="C967" s="341"/>
      <c r="D967" s="341"/>
      <c r="E967" s="88"/>
      <c r="F967" s="335"/>
      <c r="G967" s="88"/>
    </row>
    <row r="968" spans="1:7">
      <c r="A968" s="341"/>
      <c r="C968" s="341"/>
      <c r="D968" s="341"/>
      <c r="E968" s="88"/>
      <c r="F968" s="335"/>
      <c r="G968" s="88"/>
    </row>
    <row r="969" spans="1:7">
      <c r="A969" s="341"/>
      <c r="C969" s="341"/>
      <c r="D969" s="341"/>
      <c r="E969" s="88"/>
      <c r="F969" s="335"/>
      <c r="G969" s="88"/>
    </row>
    <row r="970" spans="1:7">
      <c r="A970" s="341"/>
      <c r="C970" s="341"/>
      <c r="D970" s="341"/>
      <c r="E970" s="88"/>
      <c r="F970" s="335"/>
      <c r="G970" s="88"/>
    </row>
    <row r="971" spans="1:7">
      <c r="A971" s="341"/>
      <c r="C971" s="341"/>
      <c r="D971" s="341"/>
      <c r="E971" s="88"/>
      <c r="F971" s="335"/>
      <c r="G971" s="88"/>
    </row>
    <row r="972" spans="1:7">
      <c r="A972" s="341"/>
      <c r="C972" s="341"/>
      <c r="D972" s="341"/>
      <c r="E972" s="88"/>
      <c r="F972" s="335"/>
      <c r="G972" s="88"/>
    </row>
    <row r="973" spans="1:7">
      <c r="A973" s="341"/>
      <c r="C973" s="341"/>
      <c r="D973" s="341"/>
      <c r="E973" s="88"/>
      <c r="F973" s="335"/>
      <c r="G973" s="88"/>
    </row>
    <row r="974" spans="1:7">
      <c r="A974" s="341"/>
      <c r="C974" s="341"/>
      <c r="D974" s="341"/>
      <c r="E974" s="88"/>
      <c r="F974" s="335"/>
      <c r="G974" s="88"/>
    </row>
    <row r="975" spans="1:7">
      <c r="A975" s="341"/>
      <c r="C975" s="341"/>
      <c r="D975" s="341"/>
      <c r="E975" s="88"/>
      <c r="F975" s="335"/>
      <c r="G975" s="88"/>
    </row>
    <row r="976" spans="1:7">
      <c r="A976" s="341"/>
      <c r="C976" s="341"/>
      <c r="D976" s="341"/>
      <c r="E976" s="88"/>
      <c r="F976" s="335"/>
      <c r="G976" s="88"/>
    </row>
    <row r="977" spans="1:7">
      <c r="A977" s="341"/>
      <c r="C977" s="341"/>
      <c r="D977" s="341"/>
      <c r="E977" s="88"/>
      <c r="F977" s="335"/>
      <c r="G977" s="88"/>
    </row>
    <row r="978" spans="1:7">
      <c r="A978" s="341"/>
      <c r="C978" s="341"/>
      <c r="D978" s="341"/>
      <c r="E978" s="88"/>
      <c r="F978" s="335"/>
      <c r="G978" s="88"/>
    </row>
    <row r="979" spans="1:7">
      <c r="A979" s="341"/>
      <c r="C979" s="341"/>
      <c r="D979" s="341"/>
      <c r="E979" s="88"/>
      <c r="F979" s="335"/>
      <c r="G979" s="88"/>
    </row>
    <row r="980" spans="1:7">
      <c r="A980" s="341"/>
      <c r="C980" s="341"/>
      <c r="D980" s="341"/>
      <c r="E980" s="88"/>
      <c r="F980" s="335"/>
      <c r="G980" s="88"/>
    </row>
    <row r="981" spans="1:7">
      <c r="A981" s="341"/>
      <c r="C981" s="341"/>
      <c r="D981" s="341"/>
      <c r="E981" s="88"/>
      <c r="F981" s="335"/>
      <c r="G981" s="88"/>
    </row>
    <row r="982" spans="1:7">
      <c r="A982" s="341"/>
      <c r="C982" s="341"/>
      <c r="D982" s="341"/>
      <c r="E982" s="88"/>
      <c r="F982" s="335"/>
      <c r="G982" s="88"/>
    </row>
    <row r="983" spans="1:7">
      <c r="A983" s="341"/>
      <c r="C983" s="341"/>
      <c r="D983" s="341"/>
      <c r="E983" s="88"/>
      <c r="F983" s="335"/>
      <c r="G983" s="88"/>
    </row>
    <row r="984" spans="1:7">
      <c r="A984" s="341"/>
      <c r="C984" s="341"/>
      <c r="D984" s="341"/>
      <c r="E984" s="88"/>
      <c r="F984" s="335"/>
      <c r="G984" s="88"/>
    </row>
    <row r="985" spans="1:7">
      <c r="A985" s="341"/>
      <c r="C985" s="341"/>
      <c r="D985" s="341"/>
      <c r="E985" s="88"/>
      <c r="F985" s="335"/>
      <c r="G985" s="88"/>
    </row>
    <row r="986" spans="1:7">
      <c r="A986" s="341"/>
      <c r="C986" s="341"/>
      <c r="D986" s="341"/>
      <c r="E986" s="88"/>
      <c r="F986" s="335"/>
      <c r="G986" s="88"/>
    </row>
    <row r="987" spans="1:7">
      <c r="A987" s="341"/>
      <c r="C987" s="341"/>
      <c r="D987" s="341"/>
      <c r="E987" s="88"/>
      <c r="F987" s="335"/>
      <c r="G987" s="88"/>
    </row>
    <row r="988" spans="1:7">
      <c r="A988" s="341"/>
      <c r="C988" s="341"/>
      <c r="D988" s="341"/>
      <c r="E988" s="88"/>
      <c r="F988" s="335"/>
      <c r="G988" s="88"/>
    </row>
    <row r="989" spans="1:7">
      <c r="A989" s="341"/>
      <c r="C989" s="341"/>
      <c r="D989" s="341"/>
      <c r="E989" s="88"/>
      <c r="F989" s="335"/>
      <c r="G989" s="88"/>
    </row>
    <row r="990" spans="1:7">
      <c r="A990" s="341"/>
      <c r="C990" s="341"/>
      <c r="D990" s="341"/>
      <c r="E990" s="88"/>
      <c r="F990" s="335"/>
      <c r="G990" s="88"/>
    </row>
    <row r="991" spans="1:7">
      <c r="A991" s="341"/>
      <c r="C991" s="341"/>
      <c r="D991" s="341"/>
      <c r="E991" s="88"/>
      <c r="F991" s="335"/>
      <c r="G991" s="88"/>
    </row>
    <row r="992" spans="1:7">
      <c r="A992" s="341"/>
      <c r="C992" s="341"/>
      <c r="D992" s="341"/>
      <c r="E992" s="88"/>
      <c r="F992" s="335"/>
      <c r="G992" s="88"/>
    </row>
    <row r="993" spans="1:7">
      <c r="A993" s="341"/>
      <c r="C993" s="341"/>
      <c r="D993" s="341"/>
      <c r="E993" s="88"/>
      <c r="F993" s="335"/>
      <c r="G993" s="88"/>
    </row>
    <row r="994" spans="1:7">
      <c r="A994" s="341"/>
      <c r="C994" s="341"/>
      <c r="D994" s="341"/>
      <c r="E994" s="88"/>
      <c r="F994" s="335"/>
      <c r="G994" s="88"/>
    </row>
    <row r="995" spans="1:7">
      <c r="A995" s="341"/>
      <c r="C995" s="341"/>
      <c r="D995" s="341"/>
      <c r="E995" s="88"/>
      <c r="F995" s="335"/>
      <c r="G995" s="88"/>
    </row>
    <row r="996" spans="1:7">
      <c r="A996" s="341"/>
      <c r="C996" s="341"/>
      <c r="D996" s="341"/>
      <c r="E996" s="88"/>
      <c r="F996" s="335"/>
      <c r="G996" s="88"/>
    </row>
    <row r="997" spans="1:7">
      <c r="A997" s="341"/>
      <c r="C997" s="341"/>
      <c r="D997" s="341"/>
      <c r="E997" s="88"/>
      <c r="F997" s="335"/>
      <c r="G997" s="88"/>
    </row>
    <row r="998" spans="1:7">
      <c r="A998" s="341"/>
      <c r="C998" s="341"/>
      <c r="D998" s="341"/>
      <c r="E998" s="88"/>
      <c r="F998" s="335"/>
      <c r="G998" s="88"/>
    </row>
    <row r="999" spans="1:7">
      <c r="A999" s="341"/>
      <c r="C999" s="341"/>
      <c r="D999" s="341"/>
      <c r="E999" s="88"/>
      <c r="F999" s="335"/>
      <c r="G999" s="88"/>
    </row>
    <row r="1000" spans="1:7">
      <c r="A1000" s="341"/>
      <c r="C1000" s="341"/>
      <c r="D1000" s="341"/>
      <c r="E1000" s="88"/>
      <c r="F1000" s="335"/>
      <c r="G1000" s="88"/>
    </row>
    <row r="1001" spans="1:7">
      <c r="A1001" s="341"/>
      <c r="C1001" s="341"/>
      <c r="D1001" s="341"/>
      <c r="E1001" s="88"/>
      <c r="F1001" s="335"/>
      <c r="G1001" s="88"/>
    </row>
    <row r="1002" spans="1:7">
      <c r="A1002" s="341"/>
      <c r="C1002" s="341"/>
      <c r="D1002" s="341"/>
      <c r="E1002" s="88"/>
      <c r="F1002" s="335"/>
      <c r="G1002" s="88"/>
    </row>
    <row r="1003" spans="1:7">
      <c r="A1003" s="341"/>
      <c r="C1003" s="341"/>
      <c r="D1003" s="341"/>
      <c r="E1003" s="88"/>
      <c r="F1003" s="335"/>
      <c r="G1003" s="88"/>
    </row>
    <row r="1004" spans="1:7">
      <c r="A1004" s="341"/>
      <c r="C1004" s="341"/>
      <c r="D1004" s="341"/>
      <c r="E1004" s="88"/>
      <c r="F1004" s="335"/>
      <c r="G1004" s="88"/>
    </row>
    <row r="1005" spans="1:7">
      <c r="A1005" s="341"/>
      <c r="C1005" s="341"/>
      <c r="D1005" s="341"/>
      <c r="E1005" s="88"/>
      <c r="F1005" s="335"/>
      <c r="G1005" s="88"/>
    </row>
    <row r="1006" spans="1:7">
      <c r="A1006" s="341"/>
      <c r="C1006" s="341"/>
      <c r="D1006" s="341"/>
      <c r="E1006" s="88"/>
      <c r="F1006" s="335"/>
      <c r="G1006" s="88"/>
    </row>
    <row r="1007" spans="1:7">
      <c r="A1007" s="341"/>
      <c r="C1007" s="341"/>
      <c r="D1007" s="341"/>
      <c r="E1007" s="88"/>
      <c r="F1007" s="335"/>
      <c r="G1007" s="88"/>
    </row>
    <row r="1008" spans="1:7">
      <c r="A1008" s="341"/>
      <c r="C1008" s="341"/>
      <c r="D1008" s="341"/>
      <c r="E1008" s="88"/>
      <c r="F1008" s="335"/>
      <c r="G1008" s="88"/>
    </row>
    <row r="1009" spans="1:7">
      <c r="A1009" s="341"/>
      <c r="C1009" s="341"/>
      <c r="D1009" s="341"/>
      <c r="E1009" s="88"/>
      <c r="F1009" s="335"/>
      <c r="G1009" s="88"/>
    </row>
    <row r="1010" spans="1:7">
      <c r="A1010" s="341"/>
      <c r="C1010" s="341"/>
      <c r="D1010" s="341"/>
      <c r="E1010" s="88"/>
      <c r="F1010" s="335"/>
      <c r="G1010" s="88"/>
    </row>
    <row r="1011" spans="1:7">
      <c r="A1011" s="341"/>
      <c r="C1011" s="341"/>
      <c r="D1011" s="341"/>
      <c r="E1011" s="88"/>
      <c r="F1011" s="335"/>
      <c r="G1011" s="88"/>
    </row>
    <row r="1012" spans="1:7">
      <c r="A1012" s="341"/>
      <c r="C1012" s="341"/>
      <c r="D1012" s="341"/>
      <c r="E1012" s="88"/>
      <c r="F1012" s="335"/>
      <c r="G1012" s="88"/>
    </row>
    <row r="1013" spans="1:7">
      <c r="A1013" s="341"/>
      <c r="C1013" s="341"/>
      <c r="D1013" s="341"/>
      <c r="E1013" s="88"/>
      <c r="F1013" s="335"/>
      <c r="G1013" s="88"/>
    </row>
    <row r="1014" spans="1:7">
      <c r="A1014" s="341"/>
      <c r="C1014" s="341"/>
      <c r="D1014" s="341"/>
      <c r="E1014" s="88"/>
      <c r="F1014" s="335"/>
      <c r="G1014" s="88"/>
    </row>
    <row r="1015" spans="1:7">
      <c r="A1015" s="341"/>
      <c r="C1015" s="341"/>
      <c r="D1015" s="341"/>
      <c r="E1015" s="88"/>
      <c r="F1015" s="335"/>
      <c r="G1015" s="88"/>
    </row>
    <row r="1016" spans="1:7">
      <c r="A1016" s="341"/>
      <c r="C1016" s="341"/>
      <c r="D1016" s="341"/>
      <c r="E1016" s="88"/>
      <c r="F1016" s="335"/>
      <c r="G1016" s="88"/>
    </row>
    <row r="1017" spans="1:7">
      <c r="A1017" s="341"/>
      <c r="C1017" s="341"/>
      <c r="D1017" s="341"/>
      <c r="E1017" s="88"/>
      <c r="F1017" s="335"/>
      <c r="G1017" s="88"/>
    </row>
    <row r="1018" spans="1:7">
      <c r="A1018" s="341"/>
      <c r="C1018" s="341"/>
      <c r="D1018" s="341"/>
      <c r="E1018" s="88"/>
      <c r="F1018" s="335"/>
      <c r="G1018" s="88"/>
    </row>
    <row r="1019" spans="1:7">
      <c r="A1019" s="341"/>
      <c r="C1019" s="341"/>
      <c r="D1019" s="341"/>
      <c r="E1019" s="88"/>
      <c r="F1019" s="335"/>
      <c r="G1019" s="88"/>
    </row>
    <row r="1020" spans="1:7">
      <c r="A1020" s="341"/>
      <c r="C1020" s="341"/>
      <c r="D1020" s="341"/>
      <c r="E1020" s="88"/>
      <c r="F1020" s="335"/>
      <c r="G1020" s="88"/>
    </row>
    <row r="1021" spans="1:7">
      <c r="A1021" s="341"/>
      <c r="C1021" s="341"/>
      <c r="D1021" s="341"/>
      <c r="E1021" s="88"/>
      <c r="F1021" s="335"/>
      <c r="G1021" s="88"/>
    </row>
    <row r="1022" spans="1:7">
      <c r="A1022" s="341"/>
      <c r="C1022" s="341"/>
      <c r="D1022" s="341"/>
      <c r="E1022" s="88"/>
      <c r="F1022" s="335"/>
      <c r="G1022" s="88"/>
    </row>
    <row r="1023" spans="1:7">
      <c r="A1023" s="341"/>
      <c r="C1023" s="341"/>
      <c r="D1023" s="341"/>
      <c r="E1023" s="88"/>
      <c r="F1023" s="335"/>
      <c r="G1023" s="88"/>
    </row>
    <row r="1024" spans="1:7">
      <c r="A1024" s="341"/>
      <c r="C1024" s="341"/>
      <c r="D1024" s="341"/>
      <c r="E1024" s="88"/>
      <c r="F1024" s="335"/>
      <c r="G1024" s="88"/>
    </row>
    <row r="1025" spans="1:7">
      <c r="A1025" s="341"/>
      <c r="C1025" s="341"/>
      <c r="D1025" s="341"/>
      <c r="E1025" s="88"/>
      <c r="F1025" s="335"/>
      <c r="G1025" s="88"/>
    </row>
    <row r="1026" spans="1:7">
      <c r="A1026" s="341"/>
      <c r="C1026" s="341"/>
      <c r="D1026" s="341"/>
      <c r="E1026" s="88"/>
      <c r="F1026" s="335"/>
      <c r="G1026" s="88"/>
    </row>
    <row r="1027" spans="1:7">
      <c r="A1027" s="341"/>
      <c r="C1027" s="341"/>
      <c r="D1027" s="341"/>
      <c r="E1027" s="88"/>
      <c r="F1027" s="335"/>
      <c r="G1027" s="88"/>
    </row>
    <row r="1028" spans="1:7">
      <c r="A1028" s="341"/>
      <c r="C1028" s="341"/>
      <c r="D1028" s="341"/>
      <c r="E1028" s="88"/>
      <c r="F1028" s="335"/>
      <c r="G1028" s="88"/>
    </row>
    <row r="1029" spans="1:7">
      <c r="A1029" s="341"/>
      <c r="C1029" s="341"/>
      <c r="D1029" s="341"/>
      <c r="E1029" s="88"/>
      <c r="F1029" s="335"/>
      <c r="G1029" s="88"/>
    </row>
    <row r="1030" spans="1:7">
      <c r="A1030" s="341"/>
      <c r="C1030" s="341"/>
      <c r="D1030" s="341"/>
      <c r="E1030" s="88"/>
      <c r="F1030" s="335"/>
      <c r="G1030" s="88"/>
    </row>
    <row r="1031" spans="1:7">
      <c r="A1031" s="341"/>
      <c r="C1031" s="341"/>
      <c r="D1031" s="341"/>
      <c r="E1031" s="88"/>
      <c r="F1031" s="335"/>
      <c r="G1031" s="88"/>
    </row>
    <row r="1032" spans="1:7">
      <c r="A1032" s="341"/>
      <c r="C1032" s="341"/>
      <c r="D1032" s="341"/>
      <c r="E1032" s="88"/>
      <c r="F1032" s="335"/>
      <c r="G1032" s="88"/>
    </row>
    <row r="1033" spans="1:7">
      <c r="A1033" s="341"/>
      <c r="C1033" s="341"/>
      <c r="D1033" s="341"/>
      <c r="E1033" s="88"/>
      <c r="F1033" s="335"/>
      <c r="G1033" s="88"/>
    </row>
    <row r="1034" spans="1:7">
      <c r="A1034" s="341"/>
      <c r="C1034" s="341"/>
      <c r="D1034" s="341"/>
      <c r="E1034" s="88"/>
      <c r="F1034" s="335"/>
      <c r="G1034" s="88"/>
    </row>
    <row r="1035" spans="1:7">
      <c r="A1035" s="341"/>
      <c r="C1035" s="341"/>
      <c r="D1035" s="341"/>
      <c r="E1035" s="88"/>
      <c r="F1035" s="335"/>
      <c r="G1035" s="88"/>
    </row>
    <row r="1036" spans="1:7">
      <c r="A1036" s="341"/>
      <c r="C1036" s="341"/>
      <c r="D1036" s="341"/>
      <c r="E1036" s="88"/>
      <c r="F1036" s="335"/>
      <c r="G1036" s="88"/>
    </row>
    <row r="1037" spans="1:7">
      <c r="A1037" s="341"/>
      <c r="C1037" s="341"/>
      <c r="D1037" s="341"/>
      <c r="E1037" s="88"/>
      <c r="F1037" s="335"/>
      <c r="G1037" s="88"/>
    </row>
    <row r="1038" spans="1:7">
      <c r="A1038" s="341"/>
      <c r="C1038" s="341"/>
      <c r="D1038" s="341"/>
      <c r="E1038" s="88"/>
      <c r="F1038" s="335"/>
      <c r="G1038" s="88"/>
    </row>
    <row r="1039" spans="1:7">
      <c r="A1039" s="341"/>
      <c r="C1039" s="341"/>
      <c r="D1039" s="341"/>
      <c r="E1039" s="88"/>
      <c r="F1039" s="335"/>
      <c r="G1039" s="88"/>
    </row>
    <row r="1040" spans="1:7">
      <c r="A1040" s="341"/>
      <c r="C1040" s="341"/>
      <c r="D1040" s="341"/>
      <c r="E1040" s="88"/>
      <c r="F1040" s="335"/>
      <c r="G1040" s="88"/>
    </row>
    <row r="1041" spans="1:7">
      <c r="A1041" s="341"/>
      <c r="C1041" s="341"/>
      <c r="D1041" s="341"/>
      <c r="E1041" s="88"/>
      <c r="F1041" s="335"/>
      <c r="G1041" s="88"/>
    </row>
    <row r="1042" spans="1:7">
      <c r="A1042" s="341"/>
      <c r="C1042" s="341"/>
      <c r="D1042" s="341"/>
      <c r="E1042" s="88"/>
      <c r="F1042" s="335"/>
      <c r="G1042" s="88"/>
    </row>
    <row r="1043" spans="1:7">
      <c r="A1043" s="341"/>
      <c r="C1043" s="341"/>
      <c r="D1043" s="341"/>
      <c r="E1043" s="88"/>
      <c r="F1043" s="335"/>
      <c r="G1043" s="88"/>
    </row>
    <row r="1044" spans="1:7">
      <c r="A1044" s="341"/>
      <c r="C1044" s="341"/>
      <c r="D1044" s="341"/>
      <c r="E1044" s="88"/>
      <c r="F1044" s="335"/>
      <c r="G1044" s="88"/>
    </row>
    <row r="1045" spans="1:7">
      <c r="A1045" s="341"/>
      <c r="C1045" s="341"/>
      <c r="D1045" s="341"/>
      <c r="E1045" s="88"/>
      <c r="F1045" s="335"/>
      <c r="G1045" s="88"/>
    </row>
    <row r="1046" spans="1:7">
      <c r="A1046" s="341"/>
      <c r="C1046" s="341"/>
      <c r="D1046" s="341"/>
      <c r="E1046" s="88"/>
      <c r="F1046" s="335"/>
      <c r="G1046" s="88"/>
    </row>
    <row r="1047" spans="1:7">
      <c r="A1047" s="341"/>
      <c r="C1047" s="341"/>
      <c r="D1047" s="341"/>
      <c r="E1047" s="88"/>
      <c r="F1047" s="335"/>
      <c r="G1047" s="88"/>
    </row>
    <row r="1048" spans="1:7">
      <c r="A1048" s="341"/>
      <c r="C1048" s="341"/>
      <c r="D1048" s="341"/>
      <c r="E1048" s="88"/>
      <c r="F1048" s="335"/>
      <c r="G1048" s="88"/>
    </row>
    <row r="1049" spans="1:7">
      <c r="A1049" s="341"/>
      <c r="C1049" s="341"/>
      <c r="D1049" s="341"/>
      <c r="E1049" s="88"/>
      <c r="F1049" s="335"/>
      <c r="G1049" s="88"/>
    </row>
    <row r="1050" spans="1:7">
      <c r="A1050" s="341"/>
      <c r="C1050" s="341"/>
      <c r="D1050" s="341"/>
      <c r="E1050" s="88"/>
      <c r="F1050" s="335"/>
      <c r="G1050" s="88"/>
    </row>
    <row r="1051" spans="1:7">
      <c r="A1051" s="341"/>
      <c r="C1051" s="341"/>
      <c r="D1051" s="341"/>
      <c r="E1051" s="88"/>
      <c r="F1051" s="335"/>
      <c r="G1051" s="88"/>
    </row>
    <row r="1052" spans="1:7">
      <c r="A1052" s="341"/>
      <c r="C1052" s="341"/>
      <c r="D1052" s="341"/>
      <c r="E1052" s="88"/>
      <c r="F1052" s="335"/>
      <c r="G1052" s="88"/>
    </row>
    <row r="1053" spans="1:7">
      <c r="A1053" s="341"/>
      <c r="C1053" s="341"/>
      <c r="D1053" s="341"/>
      <c r="E1053" s="88"/>
      <c r="F1053" s="335"/>
      <c r="G1053" s="88"/>
    </row>
    <row r="1054" spans="1:7">
      <c r="A1054" s="341"/>
      <c r="C1054" s="341"/>
      <c r="D1054" s="341"/>
      <c r="E1054" s="88"/>
      <c r="F1054" s="335"/>
      <c r="G1054" s="88"/>
    </row>
    <row r="1055" spans="1:7">
      <c r="A1055" s="341"/>
      <c r="C1055" s="341"/>
      <c r="D1055" s="341"/>
      <c r="E1055" s="88"/>
      <c r="F1055" s="335"/>
      <c r="G1055" s="88"/>
    </row>
    <row r="1056" spans="1:7">
      <c r="A1056" s="341"/>
      <c r="C1056" s="341"/>
      <c r="D1056" s="341"/>
      <c r="E1056" s="88"/>
      <c r="F1056" s="335"/>
      <c r="G1056" s="88"/>
    </row>
    <row r="1057" spans="1:7">
      <c r="A1057" s="341"/>
      <c r="C1057" s="341"/>
      <c r="D1057" s="341"/>
      <c r="E1057" s="88"/>
      <c r="F1057" s="335"/>
      <c r="G1057" s="88"/>
    </row>
    <row r="1058" spans="1:7">
      <c r="A1058" s="341"/>
      <c r="C1058" s="341"/>
      <c r="D1058" s="341"/>
      <c r="E1058" s="88"/>
      <c r="F1058" s="335"/>
      <c r="G1058" s="88"/>
    </row>
    <row r="1059" spans="1:7">
      <c r="A1059" s="341"/>
      <c r="C1059" s="341"/>
      <c r="D1059" s="341"/>
      <c r="E1059" s="88"/>
      <c r="F1059" s="335"/>
      <c r="G1059" s="88"/>
    </row>
    <row r="1060" spans="1:7">
      <c r="A1060" s="341"/>
      <c r="C1060" s="341"/>
      <c r="D1060" s="341"/>
      <c r="E1060" s="88"/>
      <c r="F1060" s="335"/>
      <c r="G1060" s="88"/>
    </row>
    <row r="1061" spans="1:7">
      <c r="A1061" s="341"/>
      <c r="C1061" s="341"/>
      <c r="D1061" s="341"/>
      <c r="E1061" s="88"/>
      <c r="F1061" s="335"/>
      <c r="G1061" s="88"/>
    </row>
    <row r="1062" spans="1:7">
      <c r="A1062" s="341"/>
      <c r="C1062" s="341"/>
      <c r="D1062" s="341"/>
      <c r="E1062" s="88"/>
      <c r="F1062" s="335"/>
      <c r="G1062" s="88"/>
    </row>
    <row r="1063" spans="1:7">
      <c r="A1063" s="341"/>
      <c r="C1063" s="341"/>
      <c r="D1063" s="341"/>
      <c r="E1063" s="88"/>
      <c r="F1063" s="335"/>
      <c r="G1063" s="88"/>
    </row>
    <row r="1064" spans="1:7">
      <c r="A1064" s="341"/>
      <c r="C1064" s="341"/>
      <c r="D1064" s="341"/>
      <c r="E1064" s="88"/>
      <c r="F1064" s="335"/>
      <c r="G1064" s="88"/>
    </row>
    <row r="1065" spans="1:7">
      <c r="A1065" s="341"/>
      <c r="C1065" s="341"/>
      <c r="D1065" s="341"/>
      <c r="E1065" s="88"/>
      <c r="F1065" s="335"/>
      <c r="G1065" s="88"/>
    </row>
    <row r="1066" spans="1:7">
      <c r="A1066" s="341"/>
      <c r="C1066" s="341"/>
      <c r="D1066" s="341"/>
      <c r="E1066" s="88"/>
      <c r="F1066" s="335"/>
      <c r="G1066" s="88"/>
    </row>
    <row r="1067" spans="1:7">
      <c r="A1067" s="341"/>
      <c r="C1067" s="341"/>
      <c r="D1067" s="341"/>
      <c r="E1067" s="88"/>
      <c r="F1067" s="335"/>
      <c r="G1067" s="88"/>
    </row>
    <row r="1068" spans="1:7">
      <c r="A1068" s="341"/>
      <c r="C1068" s="341"/>
      <c r="D1068" s="341"/>
      <c r="E1068" s="88"/>
      <c r="F1068" s="335"/>
      <c r="G1068" s="88"/>
    </row>
    <row r="1069" spans="1:7">
      <c r="A1069" s="341"/>
      <c r="C1069" s="341"/>
      <c r="D1069" s="341"/>
      <c r="E1069" s="88"/>
      <c r="F1069" s="335"/>
      <c r="G1069" s="88"/>
    </row>
    <row r="1070" spans="1:7">
      <c r="A1070" s="341"/>
      <c r="C1070" s="341"/>
      <c r="D1070" s="341"/>
      <c r="E1070" s="88"/>
      <c r="F1070" s="335"/>
      <c r="G1070" s="88"/>
    </row>
    <row r="1071" spans="1:7">
      <c r="A1071" s="341"/>
      <c r="C1071" s="341"/>
      <c r="D1071" s="341"/>
      <c r="E1071" s="88"/>
      <c r="F1071" s="335"/>
      <c r="G1071" s="88"/>
    </row>
    <row r="1072" spans="1:7">
      <c r="A1072" s="341"/>
      <c r="C1072" s="341"/>
      <c r="D1072" s="341"/>
      <c r="E1072" s="88"/>
      <c r="F1072" s="335"/>
      <c r="G1072" s="88"/>
    </row>
    <row r="1073" spans="1:7">
      <c r="A1073" s="341"/>
      <c r="C1073" s="341"/>
      <c r="D1073" s="341"/>
      <c r="E1073" s="88"/>
      <c r="F1073" s="335"/>
      <c r="G1073" s="88"/>
    </row>
    <row r="1074" spans="1:7">
      <c r="A1074" s="341"/>
      <c r="C1074" s="341"/>
      <c r="D1074" s="341"/>
      <c r="E1074" s="88"/>
      <c r="F1074" s="335"/>
      <c r="G1074" s="88"/>
    </row>
    <row r="1075" spans="1:7">
      <c r="A1075" s="341"/>
      <c r="C1075" s="341"/>
      <c r="D1075" s="341"/>
      <c r="E1075" s="88"/>
      <c r="F1075" s="335"/>
      <c r="G1075" s="88"/>
    </row>
    <row r="1076" spans="1:7">
      <c r="A1076" s="341"/>
      <c r="C1076" s="341"/>
      <c r="D1076" s="341"/>
      <c r="E1076" s="88"/>
      <c r="F1076" s="335"/>
      <c r="G1076" s="88"/>
    </row>
    <row r="1077" spans="1:7">
      <c r="A1077" s="341"/>
      <c r="C1077" s="341"/>
      <c r="D1077" s="341"/>
      <c r="E1077" s="88"/>
      <c r="F1077" s="335"/>
      <c r="G1077" s="88"/>
    </row>
    <row r="1078" spans="1:7">
      <c r="A1078" s="341"/>
      <c r="C1078" s="341"/>
      <c r="D1078" s="341"/>
      <c r="E1078" s="88"/>
      <c r="F1078" s="335"/>
      <c r="G1078" s="88"/>
    </row>
    <row r="1079" spans="1:7">
      <c r="A1079" s="341"/>
      <c r="C1079" s="341"/>
      <c r="D1079" s="341"/>
      <c r="E1079" s="88"/>
      <c r="F1079" s="335"/>
      <c r="G1079" s="88"/>
    </row>
    <row r="1080" spans="1:7">
      <c r="A1080" s="341"/>
      <c r="C1080" s="341"/>
      <c r="D1080" s="341"/>
      <c r="E1080" s="88"/>
      <c r="F1080" s="335"/>
      <c r="G1080" s="88"/>
    </row>
    <row r="1081" spans="1:7">
      <c r="A1081" s="341"/>
      <c r="C1081" s="341"/>
      <c r="D1081" s="341"/>
      <c r="E1081" s="88"/>
      <c r="F1081" s="335"/>
      <c r="G1081" s="88"/>
    </row>
    <row r="1082" spans="1:7">
      <c r="A1082" s="341"/>
      <c r="C1082" s="341"/>
      <c r="D1082" s="341"/>
      <c r="E1082" s="88"/>
      <c r="F1082" s="335"/>
      <c r="G1082" s="88"/>
    </row>
    <row r="1083" spans="1:7">
      <c r="A1083" s="341"/>
      <c r="C1083" s="341"/>
      <c r="D1083" s="341"/>
      <c r="E1083" s="88"/>
      <c r="F1083" s="335"/>
      <c r="G1083" s="88"/>
    </row>
    <row r="1084" spans="1:7">
      <c r="A1084" s="341"/>
      <c r="C1084" s="341"/>
      <c r="D1084" s="341"/>
      <c r="E1084" s="88"/>
      <c r="F1084" s="335"/>
      <c r="G1084" s="88"/>
    </row>
    <row r="1085" spans="1:7">
      <c r="A1085" s="341"/>
      <c r="C1085" s="341"/>
      <c r="D1085" s="341"/>
      <c r="E1085" s="88"/>
      <c r="F1085" s="335"/>
      <c r="G1085" s="88"/>
    </row>
    <row r="1086" spans="1:7">
      <c r="A1086" s="341"/>
      <c r="C1086" s="341"/>
      <c r="D1086" s="341"/>
      <c r="E1086" s="88"/>
      <c r="F1086" s="335"/>
      <c r="G1086" s="88"/>
    </row>
    <row r="1087" spans="1:7">
      <c r="A1087" s="341"/>
      <c r="C1087" s="341"/>
      <c r="D1087" s="341"/>
      <c r="E1087" s="88"/>
      <c r="F1087" s="335"/>
      <c r="G1087" s="88"/>
    </row>
    <row r="1088" spans="1:7">
      <c r="A1088" s="341"/>
      <c r="C1088" s="341"/>
      <c r="D1088" s="341"/>
      <c r="E1088" s="88"/>
      <c r="F1088" s="335"/>
      <c r="G1088" s="88"/>
    </row>
    <row r="1089" spans="1:7">
      <c r="A1089" s="341"/>
      <c r="C1089" s="341"/>
      <c r="D1089" s="341"/>
      <c r="E1089" s="88"/>
      <c r="F1089" s="335"/>
      <c r="G1089" s="88"/>
    </row>
    <row r="1090" spans="1:7">
      <c r="A1090" s="341"/>
      <c r="C1090" s="341"/>
      <c r="D1090" s="341"/>
      <c r="E1090" s="88"/>
      <c r="F1090" s="335"/>
      <c r="G1090" s="88"/>
    </row>
    <row r="1091" spans="1:7">
      <c r="A1091" s="341"/>
      <c r="C1091" s="341"/>
      <c r="D1091" s="341"/>
      <c r="E1091" s="88"/>
      <c r="F1091" s="335"/>
      <c r="G1091" s="88"/>
    </row>
    <row r="1092" spans="1:7">
      <c r="A1092" s="341"/>
      <c r="C1092" s="341"/>
      <c r="D1092" s="341"/>
      <c r="E1092" s="88"/>
      <c r="F1092" s="335"/>
      <c r="G1092" s="88"/>
    </row>
    <row r="1093" spans="1:7">
      <c r="A1093" s="341"/>
      <c r="C1093" s="341"/>
      <c r="D1093" s="341"/>
      <c r="E1093" s="88"/>
      <c r="F1093" s="335"/>
      <c r="G1093" s="88"/>
    </row>
    <row r="1094" spans="1:7">
      <c r="A1094" s="341"/>
      <c r="C1094" s="341"/>
      <c r="D1094" s="341"/>
      <c r="E1094" s="88"/>
      <c r="F1094" s="335"/>
      <c r="G1094" s="88"/>
    </row>
    <row r="1095" spans="1:7">
      <c r="A1095" s="341"/>
      <c r="C1095" s="341"/>
      <c r="D1095" s="341"/>
      <c r="E1095" s="88"/>
      <c r="F1095" s="335"/>
      <c r="G1095" s="88"/>
    </row>
    <row r="1096" spans="1:7">
      <c r="A1096" s="341"/>
      <c r="C1096" s="341"/>
      <c r="D1096" s="341"/>
      <c r="E1096" s="88"/>
      <c r="F1096" s="335"/>
      <c r="G1096" s="88"/>
    </row>
    <row r="1097" spans="1:7">
      <c r="A1097" s="341"/>
      <c r="C1097" s="341"/>
      <c r="D1097" s="341"/>
      <c r="E1097" s="88"/>
      <c r="F1097" s="335"/>
      <c r="G1097" s="88"/>
    </row>
    <row r="1098" spans="1:7">
      <c r="A1098" s="341"/>
      <c r="C1098" s="341"/>
      <c r="D1098" s="341"/>
      <c r="E1098" s="88"/>
      <c r="F1098" s="335"/>
      <c r="G1098" s="88"/>
    </row>
    <row r="1099" spans="1:7">
      <c r="A1099" s="341"/>
      <c r="C1099" s="341"/>
      <c r="D1099" s="341"/>
      <c r="E1099" s="88"/>
      <c r="F1099" s="335"/>
      <c r="G1099" s="88"/>
    </row>
    <row r="1100" spans="1:7">
      <c r="A1100" s="341"/>
      <c r="C1100" s="341"/>
      <c r="D1100" s="341"/>
      <c r="E1100" s="88"/>
      <c r="F1100" s="335"/>
      <c r="G1100" s="88"/>
    </row>
    <row r="1101" spans="1:7">
      <c r="A1101" s="341"/>
      <c r="C1101" s="341"/>
      <c r="D1101" s="341"/>
      <c r="E1101" s="88"/>
      <c r="F1101" s="335"/>
      <c r="G1101" s="88"/>
    </row>
    <row r="1102" spans="1:7">
      <c r="A1102" s="341"/>
      <c r="C1102" s="341"/>
      <c r="D1102" s="341"/>
      <c r="E1102" s="88"/>
      <c r="F1102" s="335"/>
      <c r="G1102" s="88"/>
    </row>
    <row r="1103" spans="1:7">
      <c r="A1103" s="341"/>
      <c r="C1103" s="341"/>
      <c r="D1103" s="341"/>
      <c r="E1103" s="88"/>
      <c r="F1103" s="335"/>
      <c r="G1103" s="88"/>
    </row>
    <row r="1104" spans="1:7">
      <c r="A1104" s="341"/>
      <c r="C1104" s="341"/>
      <c r="D1104" s="341"/>
      <c r="E1104" s="88"/>
      <c r="F1104" s="335"/>
      <c r="G1104" s="88"/>
    </row>
    <row r="1105" spans="1:7">
      <c r="A1105" s="341"/>
      <c r="C1105" s="341"/>
      <c r="D1105" s="341"/>
      <c r="E1105" s="88"/>
      <c r="F1105" s="335"/>
      <c r="G1105" s="88"/>
    </row>
    <row r="1106" spans="1:7">
      <c r="A1106" s="341"/>
      <c r="C1106" s="341"/>
      <c r="D1106" s="341"/>
      <c r="E1106" s="88"/>
      <c r="F1106" s="335"/>
      <c r="G1106" s="88"/>
    </row>
    <row r="1107" spans="1:7">
      <c r="A1107" s="341"/>
      <c r="C1107" s="341"/>
      <c r="D1107" s="341"/>
      <c r="E1107" s="88"/>
      <c r="F1107" s="335"/>
      <c r="G1107" s="88"/>
    </row>
    <row r="1108" spans="1:7">
      <c r="A1108" s="341"/>
      <c r="C1108" s="341"/>
      <c r="D1108" s="341"/>
      <c r="E1108" s="88"/>
      <c r="F1108" s="335"/>
      <c r="G1108" s="88"/>
    </row>
    <row r="1109" spans="1:7">
      <c r="A1109" s="341"/>
      <c r="C1109" s="341"/>
      <c r="D1109" s="341"/>
      <c r="E1109" s="88"/>
      <c r="F1109" s="335"/>
      <c r="G1109" s="88"/>
    </row>
    <row r="1110" spans="1:7">
      <c r="A1110" s="341"/>
      <c r="C1110" s="341"/>
      <c r="D1110" s="341"/>
      <c r="E1110" s="88"/>
      <c r="F1110" s="335"/>
      <c r="G1110" s="88"/>
    </row>
    <row r="1111" spans="1:7">
      <c r="A1111" s="341"/>
      <c r="C1111" s="341"/>
      <c r="D1111" s="341"/>
      <c r="E1111" s="88"/>
      <c r="F1111" s="335"/>
      <c r="G1111" s="88"/>
    </row>
    <row r="1112" spans="1:7">
      <c r="A1112" s="341"/>
      <c r="C1112" s="341"/>
      <c r="D1112" s="341"/>
      <c r="E1112" s="88"/>
      <c r="F1112" s="335"/>
      <c r="G1112" s="88"/>
    </row>
    <row r="1113" spans="1:7">
      <c r="A1113" s="341"/>
      <c r="C1113" s="341"/>
      <c r="D1113" s="341"/>
      <c r="E1113" s="88"/>
      <c r="F1113" s="335"/>
      <c r="G1113" s="88"/>
    </row>
    <row r="1114" spans="1:7">
      <c r="A1114" s="341"/>
      <c r="C1114" s="341"/>
      <c r="D1114" s="341"/>
      <c r="E1114" s="88"/>
      <c r="F1114" s="335"/>
      <c r="G1114" s="88"/>
    </row>
    <row r="1115" spans="1:7">
      <c r="A1115" s="341"/>
      <c r="C1115" s="341"/>
      <c r="D1115" s="341"/>
      <c r="E1115" s="88"/>
      <c r="F1115" s="335"/>
      <c r="G1115" s="88"/>
    </row>
    <row r="1116" spans="1:7">
      <c r="A1116" s="341"/>
      <c r="C1116" s="341"/>
      <c r="D1116" s="341"/>
      <c r="E1116" s="88"/>
      <c r="F1116" s="335"/>
      <c r="G1116" s="88"/>
    </row>
    <row r="1117" spans="1:7">
      <c r="A1117" s="341"/>
      <c r="C1117" s="341"/>
      <c r="D1117" s="341"/>
      <c r="E1117" s="88"/>
      <c r="F1117" s="335"/>
      <c r="G1117" s="88"/>
    </row>
    <row r="1118" spans="1:7">
      <c r="A1118" s="341"/>
      <c r="C1118" s="341"/>
      <c r="D1118" s="341"/>
      <c r="E1118" s="88"/>
      <c r="F1118" s="335"/>
      <c r="G1118" s="88"/>
    </row>
    <row r="1119" spans="1:7">
      <c r="A1119" s="341"/>
      <c r="C1119" s="341"/>
      <c r="D1119" s="341"/>
      <c r="E1119" s="88"/>
      <c r="F1119" s="335"/>
      <c r="G1119" s="88"/>
    </row>
    <row r="1120" spans="1:7">
      <c r="A1120" s="341"/>
      <c r="C1120" s="341"/>
      <c r="D1120" s="341"/>
      <c r="E1120" s="88"/>
      <c r="F1120" s="335"/>
      <c r="G1120" s="88"/>
    </row>
    <row r="1121" spans="1:7">
      <c r="A1121" s="341"/>
      <c r="C1121" s="341"/>
      <c r="D1121" s="341"/>
      <c r="E1121" s="88"/>
      <c r="F1121" s="335"/>
      <c r="G1121" s="88"/>
    </row>
    <row r="1122" spans="1:7">
      <c r="A1122" s="341"/>
      <c r="C1122" s="341"/>
      <c r="D1122" s="341"/>
      <c r="E1122" s="88"/>
      <c r="F1122" s="335"/>
      <c r="G1122" s="88"/>
    </row>
    <row r="1123" spans="1:7">
      <c r="A1123" s="341"/>
      <c r="C1123" s="341"/>
      <c r="D1123" s="341"/>
      <c r="E1123" s="88"/>
      <c r="F1123" s="335"/>
      <c r="G1123" s="88"/>
    </row>
    <row r="1124" spans="1:7">
      <c r="A1124" s="341"/>
      <c r="C1124" s="341"/>
      <c r="D1124" s="341"/>
      <c r="E1124" s="88"/>
      <c r="F1124" s="335"/>
      <c r="G1124" s="88"/>
    </row>
    <row r="1125" spans="1:7">
      <c r="A1125" s="341"/>
      <c r="C1125" s="341"/>
      <c r="D1125" s="341"/>
      <c r="E1125" s="88"/>
      <c r="F1125" s="335"/>
      <c r="G1125" s="88"/>
    </row>
    <row r="1126" spans="1:7">
      <c r="A1126" s="341"/>
      <c r="C1126" s="341"/>
      <c r="D1126" s="341"/>
      <c r="E1126" s="88"/>
      <c r="F1126" s="335"/>
      <c r="G1126" s="88"/>
    </row>
    <row r="1127" spans="1:7">
      <c r="A1127" s="341"/>
      <c r="C1127" s="341"/>
      <c r="D1127" s="341"/>
      <c r="E1127" s="88"/>
      <c r="F1127" s="335"/>
      <c r="G1127" s="88"/>
    </row>
    <row r="1128" spans="1:7">
      <c r="A1128" s="341"/>
      <c r="C1128" s="341"/>
      <c r="D1128" s="341"/>
      <c r="E1128" s="88"/>
      <c r="F1128" s="335"/>
      <c r="G1128" s="88"/>
    </row>
    <row r="1129" spans="1:7">
      <c r="A1129" s="341"/>
      <c r="C1129" s="341"/>
      <c r="D1129" s="341"/>
      <c r="E1129" s="88"/>
      <c r="F1129" s="335"/>
      <c r="G1129" s="88"/>
    </row>
    <row r="1130" spans="1:7">
      <c r="A1130" s="341"/>
      <c r="C1130" s="341"/>
      <c r="D1130" s="341"/>
      <c r="E1130" s="88"/>
      <c r="F1130" s="335"/>
      <c r="G1130" s="88"/>
    </row>
    <row r="1131" spans="1:7">
      <c r="A1131" s="341"/>
      <c r="C1131" s="341"/>
      <c r="D1131" s="341"/>
      <c r="E1131" s="88"/>
      <c r="F1131" s="335"/>
      <c r="G1131" s="88"/>
    </row>
    <row r="1132" spans="1:7">
      <c r="A1132" s="341"/>
      <c r="C1132" s="341"/>
      <c r="D1132" s="341"/>
      <c r="E1132" s="88"/>
      <c r="F1132" s="335"/>
      <c r="G1132" s="88"/>
    </row>
    <row r="1133" spans="1:7">
      <c r="A1133" s="341"/>
      <c r="C1133" s="341"/>
      <c r="D1133" s="341"/>
      <c r="E1133" s="88"/>
      <c r="F1133" s="335"/>
      <c r="G1133" s="88"/>
    </row>
    <row r="1134" spans="1:7">
      <c r="A1134" s="341"/>
      <c r="C1134" s="341"/>
      <c r="D1134" s="341"/>
      <c r="E1134" s="88"/>
      <c r="F1134" s="335"/>
      <c r="G1134" s="88"/>
    </row>
    <row r="1135" spans="1:7">
      <c r="A1135" s="341"/>
      <c r="C1135" s="341"/>
      <c r="D1135" s="341"/>
      <c r="E1135" s="88"/>
      <c r="F1135" s="335"/>
      <c r="G1135" s="88"/>
    </row>
    <row r="1136" spans="1:7">
      <c r="A1136" s="341"/>
      <c r="C1136" s="341"/>
      <c r="D1136" s="341"/>
      <c r="E1136" s="88"/>
      <c r="F1136" s="335"/>
      <c r="G1136" s="88"/>
    </row>
    <row r="1137" spans="1:7">
      <c r="A1137" s="341"/>
      <c r="C1137" s="341"/>
      <c r="D1137" s="341"/>
      <c r="E1137" s="88"/>
      <c r="F1137" s="335"/>
      <c r="G1137" s="88"/>
    </row>
    <row r="1138" spans="1:7">
      <c r="A1138" s="341"/>
      <c r="C1138" s="341"/>
      <c r="D1138" s="341"/>
      <c r="E1138" s="88"/>
      <c r="F1138" s="335"/>
      <c r="G1138" s="88"/>
    </row>
    <row r="1139" spans="1:7">
      <c r="A1139" s="341"/>
      <c r="C1139" s="341"/>
      <c r="D1139" s="341"/>
      <c r="E1139" s="88"/>
      <c r="F1139" s="335"/>
      <c r="G1139" s="88"/>
    </row>
    <row r="1140" spans="1:7">
      <c r="A1140" s="341"/>
      <c r="C1140" s="341"/>
      <c r="D1140" s="341"/>
      <c r="E1140" s="88"/>
      <c r="F1140" s="335"/>
      <c r="G1140" s="88"/>
    </row>
    <row r="1141" spans="1:7">
      <c r="A1141" s="341"/>
      <c r="C1141" s="341"/>
      <c r="D1141" s="341"/>
      <c r="E1141" s="88"/>
      <c r="F1141" s="335"/>
      <c r="G1141" s="88"/>
    </row>
    <row r="1142" spans="1:7">
      <c r="A1142" s="341"/>
      <c r="C1142" s="341"/>
      <c r="D1142" s="341"/>
      <c r="E1142" s="88"/>
      <c r="F1142" s="335"/>
      <c r="G1142" s="88"/>
    </row>
    <row r="1143" spans="1:7">
      <c r="A1143" s="341"/>
      <c r="C1143" s="341"/>
      <c r="D1143" s="341"/>
      <c r="E1143" s="88"/>
      <c r="F1143" s="335"/>
      <c r="G1143" s="88"/>
    </row>
    <row r="1144" spans="1:7">
      <c r="A1144" s="341"/>
      <c r="C1144" s="341"/>
      <c r="D1144" s="341"/>
      <c r="E1144" s="88"/>
      <c r="F1144" s="335"/>
      <c r="G1144" s="88"/>
    </row>
    <row r="1145" spans="1:7">
      <c r="A1145" s="341"/>
      <c r="C1145" s="341"/>
      <c r="D1145" s="341"/>
      <c r="E1145" s="88"/>
      <c r="F1145" s="335"/>
      <c r="G1145" s="88"/>
    </row>
    <row r="1146" spans="1:7">
      <c r="A1146" s="341"/>
      <c r="C1146" s="341"/>
      <c r="D1146" s="341"/>
      <c r="E1146" s="88"/>
      <c r="F1146" s="335"/>
      <c r="G1146" s="88"/>
    </row>
    <row r="1147" spans="1:7">
      <c r="A1147" s="341"/>
      <c r="C1147" s="341"/>
      <c r="D1147" s="341"/>
      <c r="E1147" s="88"/>
      <c r="F1147" s="335"/>
      <c r="G1147" s="88"/>
    </row>
    <row r="1148" spans="1:7">
      <c r="A1148" s="341"/>
      <c r="C1148" s="341"/>
      <c r="D1148" s="341"/>
      <c r="E1148" s="88"/>
      <c r="F1148" s="335"/>
      <c r="G1148" s="88"/>
    </row>
    <row r="1149" spans="1:7">
      <c r="A1149" s="341"/>
      <c r="C1149" s="341"/>
      <c r="D1149" s="341"/>
      <c r="E1149" s="88"/>
      <c r="F1149" s="335"/>
      <c r="G1149" s="88"/>
    </row>
    <row r="1150" spans="1:7">
      <c r="A1150" s="341"/>
      <c r="C1150" s="341"/>
      <c r="D1150" s="341"/>
      <c r="E1150" s="88"/>
      <c r="F1150" s="335"/>
      <c r="G1150" s="88"/>
    </row>
    <row r="1151" spans="1:7">
      <c r="A1151" s="341"/>
      <c r="C1151" s="341"/>
      <c r="D1151" s="341"/>
      <c r="E1151" s="88"/>
      <c r="F1151" s="335"/>
      <c r="G1151" s="88"/>
    </row>
    <row r="1152" spans="1:7">
      <c r="A1152" s="341"/>
      <c r="C1152" s="341"/>
      <c r="D1152" s="341"/>
      <c r="E1152" s="88"/>
      <c r="F1152" s="335"/>
      <c r="G1152" s="88"/>
    </row>
    <row r="1153" spans="1:7">
      <c r="A1153" s="341"/>
      <c r="C1153" s="341"/>
      <c r="D1153" s="341"/>
      <c r="E1153" s="88"/>
      <c r="F1153" s="335"/>
      <c r="G1153" s="88"/>
    </row>
    <row r="1154" spans="1:7">
      <c r="A1154" s="341"/>
      <c r="C1154" s="341"/>
      <c r="D1154" s="341"/>
      <c r="E1154" s="88"/>
      <c r="F1154" s="335"/>
      <c r="G1154" s="88"/>
    </row>
    <row r="1155" spans="1:7">
      <c r="A1155" s="341"/>
      <c r="C1155" s="341"/>
      <c r="D1155" s="341"/>
      <c r="E1155" s="88"/>
      <c r="F1155" s="335"/>
      <c r="G1155" s="88"/>
    </row>
    <row r="1156" spans="1:7">
      <c r="A1156" s="341"/>
      <c r="C1156" s="341"/>
      <c r="D1156" s="341"/>
      <c r="E1156" s="88"/>
      <c r="F1156" s="335"/>
      <c r="G1156" s="88"/>
    </row>
    <row r="1157" spans="1:7">
      <c r="A1157" s="341"/>
      <c r="C1157" s="341"/>
      <c r="D1157" s="341"/>
      <c r="E1157" s="88"/>
      <c r="F1157" s="335"/>
      <c r="G1157" s="88"/>
    </row>
    <row r="1158" spans="1:7">
      <c r="A1158" s="341"/>
      <c r="C1158" s="341"/>
      <c r="D1158" s="341"/>
      <c r="E1158" s="88"/>
      <c r="F1158" s="335"/>
      <c r="G1158" s="88"/>
    </row>
    <row r="1159" spans="1:7">
      <c r="A1159" s="341"/>
      <c r="C1159" s="341"/>
      <c r="D1159" s="341"/>
      <c r="E1159" s="88"/>
      <c r="F1159" s="335"/>
      <c r="G1159" s="88"/>
    </row>
    <row r="1160" spans="1:7">
      <c r="A1160" s="341"/>
      <c r="C1160" s="341"/>
      <c r="D1160" s="341"/>
      <c r="E1160" s="88"/>
      <c r="F1160" s="335"/>
      <c r="G1160" s="88"/>
    </row>
    <row r="1161" spans="1:7">
      <c r="A1161" s="341"/>
      <c r="C1161" s="341"/>
      <c r="D1161" s="341"/>
      <c r="E1161" s="88"/>
      <c r="F1161" s="335"/>
      <c r="G1161" s="88"/>
    </row>
    <row r="1162" spans="1:7">
      <c r="A1162" s="341"/>
      <c r="C1162" s="341"/>
      <c r="D1162" s="341"/>
      <c r="E1162" s="88"/>
      <c r="F1162" s="335"/>
      <c r="G1162" s="88"/>
    </row>
    <row r="1163" spans="1:7">
      <c r="A1163" s="341"/>
      <c r="C1163" s="341"/>
      <c r="D1163" s="341"/>
      <c r="E1163" s="88"/>
      <c r="F1163" s="335"/>
      <c r="G1163" s="88"/>
    </row>
    <row r="1164" spans="1:7">
      <c r="A1164" s="341"/>
      <c r="C1164" s="341"/>
      <c r="D1164" s="341"/>
      <c r="E1164" s="88"/>
      <c r="F1164" s="335"/>
      <c r="G1164" s="88"/>
    </row>
    <row r="1165" spans="1:7">
      <c r="A1165" s="341"/>
      <c r="C1165" s="341"/>
      <c r="D1165" s="341"/>
      <c r="E1165" s="88"/>
      <c r="F1165" s="335"/>
      <c r="G1165" s="88"/>
    </row>
    <row r="1166" spans="1:7">
      <c r="A1166" s="341"/>
      <c r="C1166" s="341"/>
      <c r="D1166" s="341"/>
      <c r="E1166" s="88"/>
      <c r="F1166" s="335"/>
      <c r="G1166" s="88"/>
    </row>
    <row r="1167" spans="1:7">
      <c r="A1167" s="341"/>
      <c r="C1167" s="341"/>
      <c r="D1167" s="341"/>
      <c r="E1167" s="88"/>
      <c r="F1167" s="335"/>
      <c r="G1167" s="88"/>
    </row>
    <row r="1168" spans="1:7">
      <c r="A1168" s="341"/>
      <c r="C1168" s="341"/>
      <c r="D1168" s="341"/>
      <c r="E1168" s="88"/>
      <c r="F1168" s="335"/>
      <c r="G1168" s="88"/>
    </row>
    <row r="1169" spans="1:7">
      <c r="A1169" s="341"/>
      <c r="C1169" s="341"/>
      <c r="D1169" s="341"/>
      <c r="E1169" s="88"/>
      <c r="F1169" s="335"/>
      <c r="G1169" s="88"/>
    </row>
    <row r="1170" spans="1:7">
      <c r="A1170" s="341"/>
      <c r="C1170" s="341"/>
      <c r="D1170" s="341"/>
      <c r="E1170" s="88"/>
      <c r="F1170" s="335"/>
      <c r="G1170" s="88"/>
    </row>
    <row r="1171" spans="1:7">
      <c r="A1171" s="341"/>
      <c r="C1171" s="341"/>
      <c r="D1171" s="341"/>
      <c r="E1171" s="88"/>
      <c r="F1171" s="335"/>
      <c r="G1171" s="88"/>
    </row>
    <row r="1172" spans="1:7">
      <c r="A1172" s="341"/>
      <c r="C1172" s="341"/>
      <c r="D1172" s="341"/>
      <c r="E1172" s="88"/>
      <c r="F1172" s="335"/>
      <c r="G1172" s="88"/>
    </row>
    <row r="1173" spans="1:7">
      <c r="A1173" s="341"/>
      <c r="C1173" s="341"/>
      <c r="D1173" s="341"/>
      <c r="E1173" s="88"/>
      <c r="F1173" s="335"/>
      <c r="G1173" s="88"/>
    </row>
    <row r="1174" spans="1:7">
      <c r="A1174" s="341"/>
      <c r="C1174" s="341"/>
      <c r="D1174" s="341"/>
      <c r="E1174" s="88"/>
      <c r="F1174" s="335"/>
      <c r="G1174" s="88"/>
    </row>
    <row r="1175" spans="1:7">
      <c r="A1175" s="341"/>
      <c r="C1175" s="341"/>
      <c r="D1175" s="341"/>
      <c r="E1175" s="88"/>
      <c r="F1175" s="335"/>
      <c r="G1175" s="88"/>
    </row>
    <row r="1176" spans="1:7">
      <c r="A1176" s="341"/>
      <c r="C1176" s="341"/>
      <c r="D1176" s="341"/>
      <c r="E1176" s="88"/>
      <c r="F1176" s="335"/>
      <c r="G1176" s="88"/>
    </row>
    <row r="1177" spans="1:7">
      <c r="A1177" s="341"/>
      <c r="C1177" s="341"/>
      <c r="D1177" s="341"/>
      <c r="E1177" s="88"/>
      <c r="F1177" s="335"/>
      <c r="G1177" s="88"/>
    </row>
    <row r="1178" spans="1:7">
      <c r="A1178" s="341"/>
      <c r="C1178" s="341"/>
      <c r="D1178" s="341"/>
      <c r="E1178" s="88"/>
      <c r="F1178" s="335"/>
      <c r="G1178" s="88"/>
    </row>
    <row r="1179" spans="1:7">
      <c r="A1179" s="341"/>
      <c r="C1179" s="341"/>
      <c r="D1179" s="341"/>
      <c r="E1179" s="88"/>
      <c r="F1179" s="335"/>
      <c r="G1179" s="88"/>
    </row>
    <row r="1180" spans="1:7">
      <c r="A1180" s="341"/>
      <c r="C1180" s="341"/>
      <c r="D1180" s="341"/>
      <c r="E1180" s="88"/>
      <c r="F1180" s="335"/>
      <c r="G1180" s="88"/>
    </row>
    <row r="1181" spans="1:7">
      <c r="A1181" s="341"/>
      <c r="C1181" s="341"/>
      <c r="D1181" s="341"/>
      <c r="E1181" s="88"/>
      <c r="F1181" s="335"/>
      <c r="G1181" s="88"/>
    </row>
    <row r="1182" spans="1:7">
      <c r="A1182" s="341"/>
      <c r="C1182" s="341"/>
      <c r="D1182" s="341"/>
      <c r="E1182" s="88"/>
      <c r="F1182" s="335"/>
      <c r="G1182" s="88"/>
    </row>
    <row r="1183" spans="1:7">
      <c r="A1183" s="341"/>
      <c r="C1183" s="341"/>
      <c r="D1183" s="341"/>
      <c r="E1183" s="88"/>
      <c r="F1183" s="335"/>
      <c r="G1183" s="88"/>
    </row>
    <row r="1184" spans="1:7">
      <c r="A1184" s="341"/>
      <c r="C1184" s="341"/>
      <c r="D1184" s="341"/>
      <c r="E1184" s="88"/>
      <c r="F1184" s="335"/>
      <c r="G1184" s="88"/>
    </row>
    <row r="1185" spans="1:7">
      <c r="A1185" s="341"/>
      <c r="C1185" s="341"/>
      <c r="D1185" s="341"/>
      <c r="E1185" s="88"/>
      <c r="F1185" s="335"/>
      <c r="G1185" s="88"/>
    </row>
    <row r="1186" spans="1:7">
      <c r="A1186" s="341"/>
      <c r="C1186" s="341"/>
      <c r="D1186" s="341"/>
      <c r="E1186" s="88"/>
      <c r="F1186" s="335"/>
      <c r="G1186" s="88"/>
    </row>
    <row r="1187" spans="1:7">
      <c r="A1187" s="341"/>
      <c r="C1187" s="341"/>
      <c r="D1187" s="341"/>
      <c r="E1187" s="88"/>
      <c r="F1187" s="335"/>
      <c r="G1187" s="88"/>
    </row>
    <row r="1188" spans="1:7">
      <c r="A1188" s="341"/>
      <c r="C1188" s="341"/>
      <c r="D1188" s="341"/>
      <c r="E1188" s="88"/>
      <c r="F1188" s="335"/>
      <c r="G1188" s="88"/>
    </row>
    <row r="1189" spans="1:7">
      <c r="A1189" s="341"/>
      <c r="C1189" s="341"/>
      <c r="D1189" s="341"/>
      <c r="E1189" s="88"/>
      <c r="F1189" s="335"/>
      <c r="G1189" s="88"/>
    </row>
    <row r="1190" spans="1:7">
      <c r="A1190" s="341"/>
      <c r="C1190" s="341"/>
      <c r="D1190" s="341"/>
      <c r="E1190" s="88"/>
      <c r="F1190" s="335"/>
      <c r="G1190" s="88"/>
    </row>
    <row r="1191" spans="1:7">
      <c r="A1191" s="341"/>
      <c r="C1191" s="341"/>
      <c r="D1191" s="341"/>
      <c r="E1191" s="88"/>
      <c r="F1191" s="335"/>
      <c r="G1191" s="88"/>
    </row>
    <row r="1192" spans="1:7">
      <c r="A1192" s="341"/>
      <c r="C1192" s="341"/>
      <c r="D1192" s="341"/>
      <c r="E1192" s="88"/>
      <c r="F1192" s="335"/>
      <c r="G1192" s="88"/>
    </row>
    <row r="1193" spans="1:7">
      <c r="A1193" s="341"/>
      <c r="C1193" s="341"/>
      <c r="D1193" s="341"/>
      <c r="E1193" s="88"/>
      <c r="F1193" s="335"/>
      <c r="G1193" s="88"/>
    </row>
    <row r="1194" spans="1:7">
      <c r="A1194" s="341"/>
      <c r="C1194" s="341"/>
      <c r="D1194" s="341"/>
      <c r="E1194" s="88"/>
      <c r="F1194" s="335"/>
      <c r="G1194" s="88"/>
    </row>
    <row r="1195" spans="1:7">
      <c r="A1195" s="341"/>
      <c r="C1195" s="341"/>
      <c r="D1195" s="341"/>
      <c r="E1195" s="88"/>
      <c r="F1195" s="335"/>
      <c r="G1195" s="88"/>
    </row>
    <row r="1196" spans="1:7">
      <c r="A1196" s="341"/>
      <c r="C1196" s="341"/>
      <c r="D1196" s="341"/>
      <c r="E1196" s="88"/>
      <c r="F1196" s="335"/>
      <c r="G1196" s="88"/>
    </row>
    <row r="1197" spans="1:7">
      <c r="A1197" s="341"/>
      <c r="C1197" s="341"/>
      <c r="D1197" s="341"/>
      <c r="E1197" s="88"/>
      <c r="F1197" s="335"/>
      <c r="G1197" s="88"/>
    </row>
    <row r="1198" spans="1:7">
      <c r="A1198" s="341"/>
      <c r="C1198" s="341"/>
      <c r="D1198" s="341"/>
      <c r="E1198" s="88"/>
      <c r="F1198" s="335"/>
      <c r="G1198" s="88"/>
    </row>
    <row r="1199" spans="1:7">
      <c r="A1199" s="341"/>
      <c r="C1199" s="341"/>
      <c r="D1199" s="341"/>
      <c r="E1199" s="88"/>
      <c r="F1199" s="335"/>
      <c r="G1199" s="88"/>
    </row>
    <row r="1200" spans="1:7">
      <c r="A1200" s="341"/>
      <c r="C1200" s="341"/>
      <c r="D1200" s="341"/>
      <c r="E1200" s="88"/>
      <c r="F1200" s="335"/>
      <c r="G1200" s="88"/>
    </row>
    <row r="1201" spans="1:7">
      <c r="A1201" s="341"/>
      <c r="C1201" s="341"/>
      <c r="D1201" s="341"/>
      <c r="E1201" s="88"/>
      <c r="F1201" s="335"/>
      <c r="G1201" s="88"/>
    </row>
    <row r="1202" spans="1:7">
      <c r="A1202" s="341"/>
      <c r="C1202" s="341"/>
      <c r="D1202" s="341"/>
      <c r="E1202" s="88"/>
      <c r="F1202" s="335"/>
      <c r="G1202" s="88"/>
    </row>
    <row r="1203" spans="1:7">
      <c r="A1203" s="341"/>
      <c r="C1203" s="341"/>
      <c r="D1203" s="341"/>
      <c r="E1203" s="88"/>
      <c r="F1203" s="335"/>
      <c r="G1203" s="88"/>
    </row>
    <row r="1204" spans="1:7">
      <c r="A1204" s="341"/>
      <c r="C1204" s="341"/>
      <c r="D1204" s="341"/>
      <c r="E1204" s="88"/>
      <c r="F1204" s="335"/>
      <c r="G1204" s="88"/>
    </row>
    <row r="1205" spans="1:7">
      <c r="A1205" s="341"/>
      <c r="C1205" s="341"/>
      <c r="D1205" s="341"/>
      <c r="E1205" s="88"/>
      <c r="F1205" s="335"/>
      <c r="G1205" s="88"/>
    </row>
    <row r="1206" spans="1:7">
      <c r="A1206" s="341"/>
      <c r="C1206" s="341"/>
      <c r="D1206" s="341"/>
      <c r="E1206" s="88"/>
      <c r="F1206" s="335"/>
      <c r="G1206" s="88"/>
    </row>
    <row r="1207" spans="1:7">
      <c r="A1207" s="341"/>
      <c r="C1207" s="341"/>
      <c r="D1207" s="341"/>
      <c r="E1207" s="88"/>
      <c r="F1207" s="335"/>
      <c r="G1207" s="88"/>
    </row>
    <row r="1208" spans="1:7">
      <c r="A1208" s="341"/>
      <c r="C1208" s="341"/>
      <c r="D1208" s="341"/>
      <c r="E1208" s="88"/>
      <c r="F1208" s="335"/>
      <c r="G1208" s="88"/>
    </row>
    <row r="1209" spans="1:7">
      <c r="A1209" s="341"/>
      <c r="C1209" s="341"/>
      <c r="D1209" s="341"/>
      <c r="E1209" s="88"/>
      <c r="F1209" s="335"/>
      <c r="G1209" s="88"/>
    </row>
    <row r="1210" spans="1:7">
      <c r="A1210" s="341"/>
      <c r="C1210" s="341"/>
      <c r="D1210" s="341"/>
      <c r="E1210" s="88"/>
      <c r="F1210" s="335"/>
      <c r="G1210" s="88"/>
    </row>
    <row r="1211" spans="1:7">
      <c r="A1211" s="341"/>
      <c r="C1211" s="341"/>
      <c r="D1211" s="341"/>
      <c r="E1211" s="88"/>
      <c r="F1211" s="335"/>
      <c r="G1211" s="88"/>
    </row>
    <row r="1212" spans="1:7">
      <c r="A1212" s="341"/>
      <c r="C1212" s="341"/>
      <c r="D1212" s="341"/>
      <c r="E1212" s="88"/>
      <c r="F1212" s="335"/>
      <c r="G1212" s="88"/>
    </row>
    <row r="1213" spans="1:7">
      <c r="A1213" s="341"/>
      <c r="C1213" s="341"/>
      <c r="D1213" s="341"/>
      <c r="E1213" s="88"/>
      <c r="F1213" s="335"/>
      <c r="G1213" s="88"/>
    </row>
    <row r="1214" spans="1:7">
      <c r="A1214" s="341"/>
      <c r="C1214" s="341"/>
      <c r="D1214" s="341"/>
      <c r="E1214" s="88"/>
      <c r="F1214" s="335"/>
      <c r="G1214" s="88"/>
    </row>
    <row r="1215" spans="1:7">
      <c r="A1215" s="341"/>
      <c r="C1215" s="341"/>
      <c r="D1215" s="341"/>
      <c r="E1215" s="88"/>
      <c r="F1215" s="335"/>
      <c r="G1215" s="88"/>
    </row>
    <row r="1216" spans="1:7">
      <c r="A1216" s="341"/>
      <c r="C1216" s="341"/>
      <c r="D1216" s="341"/>
      <c r="E1216" s="88"/>
      <c r="F1216" s="335"/>
      <c r="G1216" s="88"/>
    </row>
    <row r="1217" spans="1:7">
      <c r="A1217" s="341"/>
      <c r="C1217" s="341"/>
      <c r="D1217" s="341"/>
      <c r="E1217" s="88"/>
      <c r="F1217" s="335"/>
      <c r="G1217" s="88"/>
    </row>
    <row r="1218" spans="1:7">
      <c r="A1218" s="341"/>
      <c r="C1218" s="341"/>
      <c r="D1218" s="341"/>
      <c r="E1218" s="88"/>
      <c r="F1218" s="335"/>
      <c r="G1218" s="88"/>
    </row>
    <row r="1219" spans="1:7">
      <c r="A1219" s="341"/>
      <c r="C1219" s="341"/>
      <c r="D1219" s="341"/>
      <c r="E1219" s="88"/>
      <c r="F1219" s="335"/>
      <c r="G1219" s="88"/>
    </row>
    <row r="1220" spans="1:7">
      <c r="A1220" s="341"/>
      <c r="C1220" s="341"/>
      <c r="D1220" s="341"/>
      <c r="E1220" s="88"/>
      <c r="F1220" s="335"/>
      <c r="G1220" s="88"/>
    </row>
    <row r="1221" spans="1:7">
      <c r="A1221" s="341"/>
      <c r="C1221" s="341"/>
      <c r="D1221" s="341"/>
      <c r="E1221" s="88"/>
      <c r="F1221" s="335"/>
      <c r="G1221" s="88"/>
    </row>
    <row r="1222" spans="1:7">
      <c r="A1222" s="341"/>
      <c r="C1222" s="341"/>
      <c r="D1222" s="341"/>
      <c r="E1222" s="88"/>
      <c r="F1222" s="335"/>
      <c r="G1222" s="88"/>
    </row>
    <row r="1223" spans="1:7">
      <c r="A1223" s="341"/>
      <c r="C1223" s="341"/>
      <c r="D1223" s="341"/>
      <c r="E1223" s="88"/>
      <c r="F1223" s="335"/>
      <c r="G1223" s="88"/>
    </row>
    <row r="1224" spans="1:7">
      <c r="A1224" s="341"/>
      <c r="C1224" s="341"/>
      <c r="D1224" s="341"/>
      <c r="E1224" s="88"/>
      <c r="F1224" s="335"/>
      <c r="G1224" s="88"/>
    </row>
    <row r="1225" spans="1:7">
      <c r="A1225" s="341"/>
      <c r="C1225" s="341"/>
      <c r="D1225" s="341"/>
      <c r="E1225" s="88"/>
      <c r="F1225" s="335"/>
      <c r="G1225" s="88"/>
    </row>
    <row r="1226" spans="1:7">
      <c r="A1226" s="341"/>
      <c r="C1226" s="341"/>
      <c r="D1226" s="341"/>
      <c r="E1226" s="88"/>
      <c r="F1226" s="335"/>
      <c r="G1226" s="88"/>
    </row>
    <row r="1227" spans="1:7">
      <c r="A1227" s="341"/>
      <c r="C1227" s="341"/>
      <c r="D1227" s="341"/>
      <c r="E1227" s="88"/>
      <c r="F1227" s="335"/>
      <c r="G1227" s="88"/>
    </row>
    <row r="1228" spans="1:7">
      <c r="A1228" s="341"/>
      <c r="C1228" s="341"/>
      <c r="D1228" s="341"/>
      <c r="E1228" s="88"/>
      <c r="F1228" s="335"/>
      <c r="G1228" s="88"/>
    </row>
    <row r="1229" spans="1:7">
      <c r="A1229" s="341"/>
      <c r="C1229" s="341"/>
      <c r="D1229" s="341"/>
      <c r="E1229" s="88"/>
      <c r="F1229" s="335"/>
      <c r="G1229" s="88"/>
    </row>
    <row r="1230" spans="1:7">
      <c r="A1230" s="341"/>
      <c r="C1230" s="341"/>
      <c r="D1230" s="341"/>
      <c r="E1230" s="88"/>
      <c r="F1230" s="335"/>
      <c r="G1230" s="88"/>
    </row>
    <row r="1231" spans="1:7">
      <c r="A1231" s="341"/>
      <c r="C1231" s="341"/>
      <c r="D1231" s="341"/>
      <c r="E1231" s="88"/>
      <c r="F1231" s="335"/>
      <c r="G1231" s="88"/>
    </row>
    <row r="1232" spans="1:7">
      <c r="A1232" s="341"/>
      <c r="C1232" s="341"/>
      <c r="D1232" s="341"/>
      <c r="E1232" s="88"/>
      <c r="F1232" s="335"/>
      <c r="G1232" s="88"/>
    </row>
    <row r="1233" spans="1:7">
      <c r="A1233" s="341"/>
      <c r="C1233" s="341"/>
      <c r="D1233" s="341"/>
      <c r="E1233" s="88"/>
      <c r="F1233" s="335"/>
      <c r="G1233" s="88"/>
    </row>
    <row r="1234" spans="1:7">
      <c r="A1234" s="341"/>
      <c r="C1234" s="341"/>
      <c r="D1234" s="341"/>
      <c r="E1234" s="88"/>
      <c r="F1234" s="335"/>
      <c r="G1234" s="88"/>
    </row>
    <row r="1235" spans="1:7">
      <c r="A1235" s="341"/>
      <c r="C1235" s="341"/>
      <c r="D1235" s="341"/>
      <c r="E1235" s="88"/>
      <c r="F1235" s="335"/>
      <c r="G1235" s="88"/>
    </row>
    <row r="1236" spans="1:7">
      <c r="A1236" s="341"/>
      <c r="C1236" s="341"/>
      <c r="D1236" s="341"/>
      <c r="E1236" s="88"/>
      <c r="F1236" s="335"/>
      <c r="G1236" s="88"/>
    </row>
    <row r="1237" spans="1:7">
      <c r="A1237" s="341"/>
      <c r="C1237" s="341"/>
      <c r="D1237" s="341"/>
      <c r="E1237" s="88"/>
      <c r="F1237" s="335"/>
      <c r="G1237" s="88"/>
    </row>
    <row r="1238" spans="1:7">
      <c r="A1238" s="341"/>
      <c r="C1238" s="341"/>
      <c r="D1238" s="341"/>
      <c r="E1238" s="88"/>
      <c r="F1238" s="335"/>
      <c r="G1238" s="88"/>
    </row>
    <row r="1239" spans="1:7">
      <c r="A1239" s="341"/>
      <c r="C1239" s="341"/>
      <c r="D1239" s="341"/>
      <c r="E1239" s="88"/>
      <c r="F1239" s="335"/>
      <c r="G1239" s="88"/>
    </row>
    <row r="1240" spans="1:7">
      <c r="A1240" s="341"/>
      <c r="C1240" s="341"/>
      <c r="D1240" s="341"/>
      <c r="E1240" s="88"/>
      <c r="F1240" s="335"/>
      <c r="G1240" s="88"/>
    </row>
    <row r="1241" spans="1:7">
      <c r="A1241" s="341"/>
      <c r="C1241" s="341"/>
      <c r="D1241" s="341"/>
      <c r="E1241" s="88"/>
      <c r="F1241" s="335"/>
      <c r="G1241" s="88"/>
    </row>
    <row r="1242" spans="1:7">
      <c r="A1242" s="341"/>
      <c r="C1242" s="341"/>
      <c r="D1242" s="341"/>
      <c r="E1242" s="88"/>
      <c r="F1242" s="335"/>
      <c r="G1242" s="88"/>
    </row>
    <row r="1243" spans="1:7">
      <c r="A1243" s="341"/>
      <c r="C1243" s="341"/>
      <c r="D1243" s="341"/>
      <c r="E1243" s="88"/>
      <c r="F1243" s="335"/>
      <c r="G1243" s="88"/>
    </row>
    <row r="1244" spans="1:7">
      <c r="A1244" s="341"/>
      <c r="C1244" s="341"/>
      <c r="D1244" s="341"/>
      <c r="E1244" s="88"/>
      <c r="F1244" s="335"/>
      <c r="G1244" s="88"/>
    </row>
    <row r="1245" spans="1:7">
      <c r="A1245" s="341"/>
      <c r="C1245" s="341"/>
      <c r="D1245" s="341"/>
      <c r="E1245" s="88"/>
      <c r="F1245" s="335"/>
      <c r="G1245" s="88"/>
    </row>
    <row r="1246" spans="1:7">
      <c r="A1246" s="341"/>
      <c r="C1246" s="341"/>
      <c r="D1246" s="341"/>
      <c r="E1246" s="88"/>
      <c r="F1246" s="335"/>
      <c r="G1246" s="88"/>
    </row>
    <row r="1247" spans="1:7">
      <c r="A1247" s="341"/>
      <c r="C1247" s="341"/>
      <c r="D1247" s="341"/>
      <c r="E1247" s="88"/>
      <c r="F1247" s="335"/>
      <c r="G1247" s="88"/>
    </row>
    <row r="1248" spans="1:7">
      <c r="A1248" s="341"/>
      <c r="C1248" s="341"/>
      <c r="D1248" s="341"/>
      <c r="E1248" s="88"/>
      <c r="F1248" s="335"/>
      <c r="G1248" s="88"/>
    </row>
    <row r="1249" spans="1:7">
      <c r="A1249" s="341"/>
      <c r="C1249" s="341"/>
      <c r="D1249" s="341"/>
      <c r="E1249" s="88"/>
      <c r="F1249" s="335"/>
      <c r="G1249" s="88"/>
    </row>
    <row r="1250" spans="1:7">
      <c r="A1250" s="341"/>
      <c r="C1250" s="341"/>
      <c r="D1250" s="341"/>
      <c r="E1250" s="88"/>
      <c r="F1250" s="335"/>
      <c r="G1250" s="88"/>
    </row>
    <row r="1251" spans="1:7">
      <c r="A1251" s="341"/>
      <c r="C1251" s="341"/>
      <c r="D1251" s="341"/>
      <c r="E1251" s="88"/>
      <c r="F1251" s="335"/>
      <c r="G1251" s="88"/>
    </row>
    <row r="1252" spans="1:7">
      <c r="A1252" s="341"/>
      <c r="C1252" s="341"/>
      <c r="D1252" s="341"/>
      <c r="E1252" s="88"/>
      <c r="F1252" s="335"/>
      <c r="G1252" s="88"/>
    </row>
    <row r="1253" spans="1:7">
      <c r="A1253" s="341"/>
      <c r="C1253" s="341"/>
      <c r="D1253" s="341"/>
      <c r="E1253" s="88"/>
      <c r="F1253" s="335"/>
      <c r="G1253" s="88"/>
    </row>
    <row r="1254" spans="1:7">
      <c r="A1254" s="341"/>
      <c r="C1254" s="341"/>
      <c r="D1254" s="341"/>
      <c r="E1254" s="88"/>
      <c r="F1254" s="335"/>
      <c r="G1254" s="88"/>
    </row>
    <row r="1255" spans="1:7">
      <c r="A1255" s="341"/>
      <c r="C1255" s="341"/>
      <c r="D1255" s="341"/>
      <c r="E1255" s="88"/>
      <c r="F1255" s="335"/>
      <c r="G1255" s="88"/>
    </row>
    <row r="1256" spans="1:7">
      <c r="A1256" s="341"/>
      <c r="C1256" s="341"/>
      <c r="D1256" s="341"/>
      <c r="E1256" s="88"/>
      <c r="F1256" s="335"/>
      <c r="G1256" s="88"/>
    </row>
    <row r="1257" spans="1:7">
      <c r="A1257" s="341"/>
      <c r="C1257" s="341"/>
      <c r="D1257" s="341"/>
      <c r="E1257" s="88"/>
      <c r="F1257" s="335"/>
      <c r="G1257" s="88"/>
    </row>
    <row r="1258" spans="1:7">
      <c r="A1258" s="341"/>
      <c r="C1258" s="341"/>
      <c r="D1258" s="341"/>
      <c r="E1258" s="88"/>
      <c r="F1258" s="335"/>
      <c r="G1258" s="88"/>
    </row>
    <row r="1259" spans="1:7">
      <c r="A1259" s="341"/>
      <c r="C1259" s="341"/>
      <c r="D1259" s="341"/>
      <c r="E1259" s="88"/>
      <c r="F1259" s="335"/>
      <c r="G1259" s="88"/>
    </row>
    <row r="1260" spans="1:7">
      <c r="A1260" s="341"/>
      <c r="C1260" s="341"/>
      <c r="D1260" s="341"/>
      <c r="E1260" s="88"/>
      <c r="F1260" s="335"/>
      <c r="G1260" s="88"/>
    </row>
    <row r="1261" spans="1:7">
      <c r="A1261" s="341"/>
      <c r="C1261" s="341"/>
      <c r="D1261" s="341"/>
      <c r="E1261" s="88"/>
      <c r="F1261" s="335"/>
      <c r="G1261" s="88"/>
    </row>
    <row r="1262" spans="1:7">
      <c r="A1262" s="341"/>
      <c r="C1262" s="341"/>
      <c r="D1262" s="341"/>
      <c r="E1262" s="88"/>
      <c r="F1262" s="335"/>
      <c r="G1262" s="88"/>
    </row>
    <row r="1263" spans="1:7">
      <c r="A1263" s="341"/>
      <c r="C1263" s="341"/>
      <c r="D1263" s="341"/>
      <c r="E1263" s="88"/>
      <c r="F1263" s="335"/>
      <c r="G1263" s="88"/>
    </row>
    <row r="1264" spans="1:7">
      <c r="A1264" s="341"/>
      <c r="C1264" s="341"/>
      <c r="D1264" s="341"/>
      <c r="E1264" s="88"/>
      <c r="F1264" s="335"/>
      <c r="G1264" s="88"/>
    </row>
    <row r="1265" spans="1:7">
      <c r="A1265" s="341"/>
      <c r="C1265" s="341"/>
      <c r="D1265" s="341"/>
      <c r="E1265" s="88"/>
      <c r="F1265" s="335"/>
      <c r="G1265" s="88"/>
    </row>
    <row r="1266" spans="1:7">
      <c r="A1266" s="341"/>
      <c r="C1266" s="341"/>
      <c r="D1266" s="341"/>
      <c r="E1266" s="88"/>
      <c r="F1266" s="335"/>
      <c r="G1266" s="88"/>
    </row>
    <row r="1267" spans="1:7">
      <c r="A1267" s="341"/>
      <c r="C1267" s="341"/>
      <c r="D1267" s="341"/>
      <c r="E1267" s="88"/>
      <c r="F1267" s="335"/>
      <c r="G1267" s="88"/>
    </row>
    <row r="1268" spans="1:7">
      <c r="A1268" s="341"/>
      <c r="C1268" s="341"/>
      <c r="D1268" s="341"/>
      <c r="E1268" s="88"/>
      <c r="F1268" s="335"/>
      <c r="G1268" s="88"/>
    </row>
    <row r="1269" spans="1:7">
      <c r="A1269" s="341"/>
      <c r="C1269" s="341"/>
      <c r="D1269" s="341"/>
      <c r="E1269" s="88"/>
      <c r="F1269" s="335"/>
      <c r="G1269" s="88"/>
    </row>
    <row r="1270" spans="1:7">
      <c r="A1270" s="341"/>
      <c r="C1270" s="341"/>
      <c r="D1270" s="341"/>
      <c r="E1270" s="88"/>
      <c r="F1270" s="335"/>
      <c r="G1270" s="88"/>
    </row>
    <row r="1271" spans="1:7">
      <c r="A1271" s="341"/>
      <c r="C1271" s="341"/>
      <c r="D1271" s="341"/>
      <c r="E1271" s="88"/>
      <c r="F1271" s="335"/>
      <c r="G1271" s="88"/>
    </row>
    <row r="1272" spans="1:7">
      <c r="A1272" s="341"/>
      <c r="C1272" s="341"/>
      <c r="D1272" s="341"/>
      <c r="E1272" s="88"/>
      <c r="F1272" s="335"/>
      <c r="G1272" s="88"/>
    </row>
    <row r="1273" spans="1:7">
      <c r="A1273" s="341"/>
      <c r="C1273" s="341"/>
      <c r="D1273" s="341"/>
      <c r="E1273" s="88"/>
      <c r="F1273" s="335"/>
      <c r="G1273" s="88"/>
    </row>
    <row r="1274" spans="1:7">
      <c r="A1274" s="341"/>
      <c r="C1274" s="341"/>
      <c r="D1274" s="341"/>
      <c r="E1274" s="88"/>
      <c r="F1274" s="335"/>
      <c r="G1274" s="88"/>
    </row>
    <row r="1275" spans="1:7">
      <c r="A1275" s="341"/>
      <c r="C1275" s="341"/>
      <c r="D1275" s="341"/>
      <c r="E1275" s="88"/>
      <c r="F1275" s="335"/>
      <c r="G1275" s="88"/>
    </row>
    <row r="1276" spans="1:7">
      <c r="A1276" s="341"/>
      <c r="C1276" s="341"/>
      <c r="D1276" s="341"/>
      <c r="E1276" s="88"/>
      <c r="F1276" s="335"/>
      <c r="G1276" s="88"/>
    </row>
    <row r="1277" spans="1:7">
      <c r="A1277" s="341"/>
      <c r="C1277" s="341"/>
      <c r="D1277" s="341"/>
      <c r="E1277" s="88"/>
      <c r="F1277" s="335"/>
      <c r="G1277" s="88"/>
    </row>
    <row r="1278" spans="1:7">
      <c r="A1278" s="341"/>
      <c r="C1278" s="341"/>
      <c r="D1278" s="341"/>
      <c r="E1278" s="88"/>
      <c r="F1278" s="335"/>
      <c r="G1278" s="88"/>
    </row>
    <row r="1279" spans="1:7">
      <c r="A1279" s="341"/>
      <c r="C1279" s="341"/>
      <c r="D1279" s="341"/>
      <c r="E1279" s="88"/>
      <c r="F1279" s="335"/>
      <c r="G1279" s="88"/>
    </row>
    <row r="1280" spans="1:7">
      <c r="A1280" s="341"/>
      <c r="C1280" s="341"/>
      <c r="D1280" s="341"/>
      <c r="E1280" s="88"/>
      <c r="F1280" s="335"/>
      <c r="G1280" s="88"/>
    </row>
    <row r="1281" spans="1:7">
      <c r="A1281" s="341"/>
      <c r="C1281" s="341"/>
      <c r="D1281" s="341"/>
      <c r="E1281" s="88"/>
      <c r="F1281" s="335"/>
      <c r="G1281" s="88"/>
    </row>
    <row r="1282" spans="1:7">
      <c r="A1282" s="341"/>
      <c r="C1282" s="341"/>
      <c r="D1282" s="341"/>
      <c r="E1282" s="88"/>
      <c r="F1282" s="335"/>
      <c r="G1282" s="88"/>
    </row>
    <row r="1283" spans="1:7">
      <c r="A1283" s="341"/>
      <c r="C1283" s="341"/>
      <c r="D1283" s="341"/>
      <c r="E1283" s="88"/>
      <c r="F1283" s="335"/>
      <c r="G1283" s="88"/>
    </row>
    <row r="1284" spans="1:7">
      <c r="A1284" s="341"/>
      <c r="C1284" s="341"/>
      <c r="D1284" s="341"/>
      <c r="E1284" s="88"/>
      <c r="F1284" s="335"/>
      <c r="G1284" s="88"/>
    </row>
    <row r="1285" spans="1:7">
      <c r="A1285" s="341"/>
      <c r="C1285" s="341"/>
      <c r="D1285" s="341"/>
      <c r="E1285" s="88"/>
      <c r="F1285" s="335"/>
      <c r="G1285" s="88"/>
    </row>
    <row r="1286" spans="1:7">
      <c r="A1286" s="341"/>
      <c r="C1286" s="341"/>
      <c r="D1286" s="341"/>
      <c r="E1286" s="88"/>
      <c r="F1286" s="335"/>
      <c r="G1286" s="88"/>
    </row>
    <row r="1287" spans="1:7">
      <c r="A1287" s="341"/>
      <c r="C1287" s="341"/>
      <c r="D1287" s="341"/>
      <c r="E1287" s="88"/>
      <c r="F1287" s="335"/>
      <c r="G1287" s="88"/>
    </row>
    <row r="1288" spans="1:7">
      <c r="A1288" s="341"/>
      <c r="C1288" s="341"/>
      <c r="D1288" s="341"/>
      <c r="E1288" s="88"/>
      <c r="F1288" s="335"/>
      <c r="G1288" s="88"/>
    </row>
    <row r="1289" spans="1:7">
      <c r="A1289" s="341"/>
      <c r="C1289" s="341"/>
      <c r="D1289" s="341"/>
      <c r="E1289" s="88"/>
      <c r="F1289" s="335"/>
      <c r="G1289" s="88"/>
    </row>
    <row r="1290" spans="1:7">
      <c r="A1290" s="341"/>
      <c r="C1290" s="341"/>
      <c r="D1290" s="341"/>
      <c r="E1290" s="88"/>
      <c r="F1290" s="335"/>
      <c r="G1290" s="88"/>
    </row>
    <row r="1291" spans="1:7">
      <c r="A1291" s="341"/>
      <c r="C1291" s="341"/>
      <c r="D1291" s="341"/>
      <c r="E1291" s="88"/>
      <c r="F1291" s="335"/>
      <c r="G1291" s="88"/>
    </row>
    <row r="1292" spans="1:7">
      <c r="A1292" s="341"/>
      <c r="C1292" s="341"/>
      <c r="D1292" s="341"/>
      <c r="E1292" s="88"/>
      <c r="F1292" s="335"/>
      <c r="G1292" s="88"/>
    </row>
    <row r="1293" spans="1:7">
      <c r="A1293" s="341"/>
      <c r="C1293" s="341"/>
      <c r="D1293" s="341"/>
      <c r="E1293" s="88"/>
      <c r="F1293" s="335"/>
      <c r="G1293" s="88"/>
    </row>
    <row r="1294" spans="1:7">
      <c r="A1294" s="341"/>
      <c r="C1294" s="341"/>
      <c r="D1294" s="341"/>
      <c r="E1294" s="88"/>
      <c r="F1294" s="335"/>
      <c r="G1294" s="88"/>
    </row>
    <row r="1295" spans="1:7">
      <c r="A1295" s="341"/>
      <c r="C1295" s="341"/>
      <c r="D1295" s="341"/>
      <c r="E1295" s="88"/>
      <c r="F1295" s="335"/>
      <c r="G1295" s="88"/>
    </row>
    <row r="1296" spans="1:7">
      <c r="A1296" s="341"/>
      <c r="C1296" s="341"/>
      <c r="D1296" s="341"/>
      <c r="E1296" s="88"/>
      <c r="F1296" s="335"/>
      <c r="G1296" s="88"/>
    </row>
    <row r="1297" spans="1:7">
      <c r="A1297" s="341"/>
      <c r="C1297" s="341"/>
      <c r="D1297" s="341"/>
      <c r="E1297" s="88"/>
      <c r="F1297" s="335"/>
      <c r="G1297" s="88"/>
    </row>
    <row r="1298" spans="1:7">
      <c r="A1298" s="341"/>
      <c r="C1298" s="341"/>
      <c r="D1298" s="341"/>
      <c r="E1298" s="88"/>
      <c r="F1298" s="335"/>
      <c r="G1298" s="88"/>
    </row>
    <row r="1299" spans="1:7">
      <c r="A1299" s="341"/>
      <c r="C1299" s="341"/>
      <c r="D1299" s="341"/>
      <c r="E1299" s="88"/>
      <c r="F1299" s="335"/>
      <c r="G1299" s="88"/>
    </row>
    <row r="1300" spans="1:7">
      <c r="A1300" s="341"/>
      <c r="C1300" s="341"/>
      <c r="D1300" s="341"/>
      <c r="E1300" s="88"/>
      <c r="F1300" s="335"/>
      <c r="G1300" s="88"/>
    </row>
    <row r="1301" spans="1:7">
      <c r="A1301" s="341"/>
      <c r="C1301" s="341"/>
      <c r="D1301" s="341"/>
      <c r="E1301" s="88"/>
      <c r="F1301" s="335"/>
      <c r="G1301" s="88"/>
    </row>
    <row r="1302" spans="1:7">
      <c r="A1302" s="341"/>
      <c r="C1302" s="341"/>
      <c r="D1302" s="341"/>
      <c r="E1302" s="88"/>
      <c r="F1302" s="335"/>
      <c r="G1302" s="88"/>
    </row>
    <row r="1303" spans="1:7">
      <c r="A1303" s="341"/>
      <c r="C1303" s="341"/>
      <c r="D1303" s="341"/>
      <c r="E1303" s="88"/>
      <c r="F1303" s="335"/>
      <c r="G1303" s="88"/>
    </row>
    <row r="1304" spans="1:7">
      <c r="A1304" s="341"/>
      <c r="C1304" s="341"/>
      <c r="D1304" s="341"/>
      <c r="E1304" s="88"/>
      <c r="F1304" s="335"/>
      <c r="G1304" s="88"/>
    </row>
    <row r="1305" spans="1:7">
      <c r="A1305" s="341"/>
      <c r="C1305" s="341"/>
      <c r="D1305" s="341"/>
      <c r="E1305" s="88"/>
      <c r="F1305" s="335"/>
      <c r="G1305" s="88"/>
    </row>
    <row r="1306" spans="1:7">
      <c r="A1306" s="341"/>
      <c r="C1306" s="341"/>
      <c r="D1306" s="341"/>
      <c r="E1306" s="88"/>
      <c r="F1306" s="335"/>
      <c r="G1306" s="88"/>
    </row>
    <row r="1307" spans="1:7">
      <c r="A1307" s="341"/>
      <c r="C1307" s="341"/>
      <c r="D1307" s="341"/>
      <c r="E1307" s="88"/>
      <c r="F1307" s="335"/>
      <c r="G1307" s="88"/>
    </row>
    <row r="1308" spans="1:7">
      <c r="A1308" s="341"/>
      <c r="C1308" s="341"/>
      <c r="D1308" s="341"/>
      <c r="E1308" s="88"/>
      <c r="F1308" s="335"/>
      <c r="G1308" s="88"/>
    </row>
    <row r="1309" spans="1:7">
      <c r="A1309" s="341"/>
      <c r="C1309" s="341"/>
      <c r="D1309" s="341"/>
      <c r="E1309" s="88"/>
      <c r="F1309" s="335"/>
      <c r="G1309" s="88"/>
    </row>
    <row r="1310" spans="1:7">
      <c r="A1310" s="341"/>
      <c r="C1310" s="341"/>
      <c r="D1310" s="341"/>
      <c r="E1310" s="88"/>
      <c r="F1310" s="335"/>
      <c r="G1310" s="88"/>
    </row>
    <row r="1311" spans="1:7">
      <c r="A1311" s="341"/>
      <c r="C1311" s="341"/>
      <c r="D1311" s="341"/>
      <c r="E1311" s="88"/>
      <c r="F1311" s="335"/>
      <c r="G1311" s="88"/>
    </row>
    <row r="1312" spans="1:7">
      <c r="A1312" s="341"/>
      <c r="C1312" s="341"/>
      <c r="D1312" s="341"/>
      <c r="E1312" s="88"/>
      <c r="F1312" s="335"/>
      <c r="G1312" s="88"/>
    </row>
    <row r="1313" spans="1:7">
      <c r="A1313" s="341"/>
      <c r="C1313" s="341"/>
      <c r="D1313" s="341"/>
      <c r="E1313" s="88"/>
      <c r="F1313" s="335"/>
      <c r="G1313" s="88"/>
    </row>
    <row r="1314" spans="1:7">
      <c r="A1314" s="341"/>
      <c r="C1314" s="341"/>
      <c r="D1314" s="341"/>
      <c r="E1314" s="88"/>
      <c r="F1314" s="335"/>
      <c r="G1314" s="88"/>
    </row>
    <row r="1315" spans="1:7">
      <c r="A1315" s="341"/>
      <c r="C1315" s="341"/>
      <c r="D1315" s="341"/>
      <c r="E1315" s="88"/>
      <c r="F1315" s="335"/>
      <c r="G1315" s="88"/>
    </row>
    <row r="1316" spans="1:7">
      <c r="A1316" s="341"/>
      <c r="C1316" s="341"/>
      <c r="D1316" s="341"/>
      <c r="E1316" s="88"/>
      <c r="F1316" s="335"/>
      <c r="G1316" s="88"/>
    </row>
    <row r="1317" spans="1:7">
      <c r="A1317" s="341"/>
      <c r="C1317" s="341"/>
      <c r="D1317" s="341"/>
      <c r="E1317" s="88"/>
      <c r="F1317" s="335"/>
      <c r="G1317" s="88"/>
    </row>
  </sheetData>
  <sheetProtection password="C683" sheet="1" objects="1" scenarios="1" selectLockedCells="1"/>
  <customSheetViews>
    <customSheetView guid="{D07B1302-4C97-5B45-B34E-C55441B939E3}" scale="150" showPageBreaks="1" showGridLines="0" zeroValues="0" printArea="1">
      <selection activeCell="B13" sqref="B13"/>
      <pageMargins left="0.5" right="0.25" top="0.5" bottom="0.5" header="0.25" footer="0.25"/>
      <printOptions horizontalCentered="1"/>
      <pageSetup paperSize="9" orientation="portrait"/>
      <headerFooter alignWithMargins="0">
        <oddHeader>&amp;C&amp;6&amp;K000000ADMIN BUILDING</oddHeader>
        <oddFooter>&amp;C&amp;6Page&amp;Pof&amp;N&amp;R&amp;6&amp;A</oddFooter>
      </headerFooter>
    </customSheetView>
  </customSheetViews>
  <mergeCells count="19">
    <mergeCell ref="E24:G24"/>
    <mergeCell ref="E22:G22"/>
    <mergeCell ref="E20:G20"/>
    <mergeCell ref="A16:D16"/>
    <mergeCell ref="A72:D72"/>
    <mergeCell ref="E52:G52"/>
    <mergeCell ref="E50:G50"/>
    <mergeCell ref="E48:G48"/>
    <mergeCell ref="E46:G46"/>
    <mergeCell ref="E44:G44"/>
    <mergeCell ref="E42:G42"/>
    <mergeCell ref="E40:G40"/>
    <mergeCell ref="E38:G38"/>
    <mergeCell ref="E36:G36"/>
    <mergeCell ref="E34:G34"/>
    <mergeCell ref="E32:G32"/>
    <mergeCell ref="E30:G30"/>
    <mergeCell ref="E28:G28"/>
    <mergeCell ref="E26:G26"/>
  </mergeCells>
  <phoneticPr fontId="0" type="noConversion"/>
  <printOptions horizontalCentered="1"/>
  <pageMargins left="0.75" right="0.75" top="0.75" bottom="0.75" header="0.25" footer="0.25"/>
  <pageSetup paperSize="9" orientation="portrait" r:id="rId1"/>
  <headerFooter alignWithMargins="0">
    <oddFooter>&amp;C&amp;"-,Regular"&amp;8Page &amp;P of &amp;N</oddFooter>
  </headerFooter>
  <rowBreaks count="6" manualBreakCount="6">
    <brk id="227" max="6" man="1"/>
    <brk id="296" max="6" man="1"/>
    <brk id="395" max="6" man="1"/>
    <brk id="438" max="6" man="1"/>
    <brk id="485" max="6" man="1"/>
    <brk id="531" max="6" man="1"/>
  </rowBreaks>
</worksheet>
</file>

<file path=xl/worksheets/sheet4.xml><?xml version="1.0" encoding="utf-8"?>
<worksheet xmlns="http://schemas.openxmlformats.org/spreadsheetml/2006/main" xmlns:r="http://schemas.openxmlformats.org/officeDocument/2006/relationships">
  <sheetPr transitionEvaluation="1">
    <tabColor indexed="34"/>
  </sheetPr>
  <dimension ref="A1:J664"/>
  <sheetViews>
    <sheetView showGridLines="0" showZeros="0" view="pageBreakPreview" zoomScaleSheetLayoutView="100" workbookViewId="0">
      <selection activeCell="K26" sqref="K26"/>
    </sheetView>
  </sheetViews>
  <sheetFormatPr defaultRowHeight="12"/>
  <cols>
    <col min="1" max="1" width="5.7109375" style="85" customWidth="1"/>
    <col min="2" max="2" width="47.7109375" style="88" customWidth="1"/>
    <col min="3" max="3" width="6.5703125" style="85" customWidth="1"/>
    <col min="4" max="4" width="5" style="85" customWidth="1"/>
    <col min="5" max="5" width="8.140625" style="86" customWidth="1"/>
    <col min="6" max="6" width="7.140625" style="87" customWidth="1"/>
    <col min="7" max="7" width="7.42578125" style="88" customWidth="1"/>
    <col min="8" max="16384" width="9.140625" style="88"/>
  </cols>
  <sheetData>
    <row r="1" spans="1:8" s="81" customFormat="1" ht="18.75">
      <c r="A1" s="137" t="s">
        <v>116</v>
      </c>
      <c r="B1" s="144"/>
      <c r="C1" s="138"/>
      <c r="D1" s="139"/>
      <c r="E1" s="79"/>
      <c r="F1" s="80"/>
      <c r="G1" s="78"/>
      <c r="H1" s="447"/>
    </row>
    <row r="2" spans="1:8" s="81" customFormat="1">
      <c r="A2" s="144" t="s">
        <v>81</v>
      </c>
      <c r="B2" s="336"/>
      <c r="C2" s="138"/>
      <c r="D2" s="139"/>
      <c r="E2" s="77"/>
      <c r="G2" s="78"/>
      <c r="H2" s="447"/>
    </row>
    <row r="3" spans="1:8" s="81" customFormat="1">
      <c r="A3" s="144" t="s">
        <v>82</v>
      </c>
      <c r="B3" s="336"/>
      <c r="C3" s="138"/>
      <c r="D3" s="139"/>
      <c r="E3" s="77"/>
      <c r="G3" s="78"/>
      <c r="H3" s="447"/>
    </row>
    <row r="4" spans="1:8" s="81" customFormat="1">
      <c r="A4" s="144">
        <v>0</v>
      </c>
      <c r="B4" s="336"/>
      <c r="C4" s="138"/>
      <c r="D4" s="139"/>
      <c r="E4" s="77"/>
      <c r="G4" s="78"/>
      <c r="H4" s="447"/>
    </row>
    <row r="5" spans="1:8" s="81" customFormat="1">
      <c r="A5" s="144" t="str">
        <f>'BOQ Ground Floor'!A5</f>
        <v>DATE: 27th MAY 2015</v>
      </c>
      <c r="B5" s="336"/>
      <c r="C5" s="138"/>
      <c r="D5" s="139"/>
      <c r="E5" s="77"/>
      <c r="G5" s="78"/>
      <c r="H5" s="447"/>
    </row>
    <row r="6" spans="1:8" s="81" customFormat="1">
      <c r="A6" s="144">
        <v>0</v>
      </c>
      <c r="B6" s="336"/>
      <c r="C6" s="138"/>
      <c r="D6" s="139"/>
      <c r="E6" s="77"/>
      <c r="G6" s="78"/>
      <c r="H6" s="447"/>
    </row>
    <row r="7" spans="1:8" s="81" customFormat="1">
      <c r="A7" s="350" t="str">
        <f>'BOQ Ground Floor'!A7</f>
        <v>PROJECT: TWO STOREY FIRE STATION</v>
      </c>
      <c r="B7" s="336"/>
      <c r="C7" s="142"/>
      <c r="D7" s="139"/>
      <c r="E7" s="82"/>
      <c r="G7" s="78"/>
      <c r="H7" s="447"/>
    </row>
    <row r="8" spans="1:8" s="81" customFormat="1">
      <c r="A8" s="143" t="str">
        <f>'BOQ Ground Floor'!A8</f>
        <v>CLIENT: MINISTRY OF DEFENCE AND NATIONAL SECURITY</v>
      </c>
      <c r="B8" s="336"/>
      <c r="C8" s="143"/>
      <c r="D8" s="143"/>
      <c r="E8" s="83"/>
      <c r="G8" s="78"/>
      <c r="H8" s="447"/>
    </row>
    <row r="9" spans="1:8" s="81" customFormat="1">
      <c r="A9" s="144" t="str">
        <f>'BOQ Ground Floor'!A9</f>
        <v>LOCATION: S.HULHUMEEDHOO</v>
      </c>
      <c r="B9" s="336"/>
      <c r="C9" s="144"/>
      <c r="D9" s="139"/>
      <c r="E9" s="77"/>
      <c r="F9" s="81" t="s">
        <v>1</v>
      </c>
      <c r="G9" s="78" t="s">
        <v>1</v>
      </c>
      <c r="H9" s="447"/>
    </row>
    <row r="10" spans="1:8" s="81" customFormat="1">
      <c r="A10" s="351"/>
      <c r="B10" s="336"/>
      <c r="C10" s="144"/>
      <c r="D10" s="139"/>
      <c r="E10" s="77"/>
      <c r="G10" s="78"/>
      <c r="H10" s="447"/>
    </row>
    <row r="11" spans="1:8">
      <c r="A11" s="148"/>
      <c r="B11" s="341"/>
      <c r="C11" s="148"/>
      <c r="D11" s="148"/>
    </row>
    <row r="12" spans="1:8">
      <c r="A12" s="459"/>
      <c r="B12" s="341"/>
      <c r="C12" s="148"/>
      <c r="D12" s="148"/>
    </row>
    <row r="13" spans="1:8">
      <c r="A13" s="459"/>
      <c r="B13" s="341"/>
      <c r="C13" s="148"/>
      <c r="D13" s="148"/>
    </row>
    <row r="14" spans="1:8">
      <c r="A14" s="459"/>
      <c r="B14" s="341"/>
      <c r="C14" s="148"/>
      <c r="D14" s="148"/>
    </row>
    <row r="15" spans="1:8">
      <c r="A15" s="459"/>
      <c r="B15" s="341"/>
      <c r="C15" s="148"/>
      <c r="D15" s="148"/>
    </row>
    <row r="16" spans="1:8" ht="18.75">
      <c r="A16" s="166" t="s">
        <v>145</v>
      </c>
      <c r="B16" s="166"/>
      <c r="C16" s="166"/>
      <c r="D16" s="166"/>
      <c r="E16" s="89"/>
      <c r="F16" s="89"/>
      <c r="G16" s="89"/>
    </row>
    <row r="17" spans="1:7">
      <c r="A17" s="151"/>
      <c r="B17" s="151"/>
      <c r="C17" s="151"/>
      <c r="D17" s="151"/>
      <c r="E17" s="90"/>
      <c r="F17" s="90"/>
      <c r="G17" s="90"/>
    </row>
    <row r="18" spans="1:7">
      <c r="A18" s="297"/>
      <c r="B18" s="154"/>
      <c r="C18" s="348"/>
      <c r="D18" s="153"/>
      <c r="E18" s="92"/>
      <c r="F18" s="92"/>
      <c r="G18" s="94"/>
    </row>
    <row r="19" spans="1:7">
      <c r="A19" s="343" t="s">
        <v>391</v>
      </c>
      <c r="B19" s="154"/>
      <c r="C19" s="348"/>
      <c r="D19" s="153"/>
      <c r="E19" s="92"/>
      <c r="F19" s="92"/>
      <c r="G19" s="94"/>
    </row>
    <row r="20" spans="1:7">
      <c r="A20" s="151"/>
      <c r="B20" s="151"/>
      <c r="C20" s="348"/>
      <c r="D20" s="151"/>
      <c r="E20" s="90"/>
      <c r="F20" s="90"/>
      <c r="G20" s="90"/>
    </row>
    <row r="21" spans="1:7" ht="12.75" customHeight="1">
      <c r="A21" s="153" t="s">
        <v>347</v>
      </c>
      <c r="B21" s="345" t="str">
        <f>B62</f>
        <v>SITE PREPARATION</v>
      </c>
      <c r="C21" s="148"/>
      <c r="D21" s="157" t="s">
        <v>143</v>
      </c>
      <c r="E21" s="298"/>
      <c r="F21" s="299"/>
      <c r="G21" s="300"/>
    </row>
    <row r="22" spans="1:7">
      <c r="A22" s="460"/>
      <c r="B22" s="461"/>
      <c r="C22" s="148"/>
      <c r="D22" s="157"/>
      <c r="E22" s="92"/>
      <c r="F22" s="92"/>
      <c r="G22" s="94"/>
    </row>
    <row r="23" spans="1:7" ht="12.75" customHeight="1">
      <c r="A23" s="153" t="s">
        <v>373</v>
      </c>
      <c r="B23" s="345" t="str">
        <f>B66</f>
        <v>FOUNDATION</v>
      </c>
      <c r="C23" s="148"/>
      <c r="D23" s="157" t="s">
        <v>143</v>
      </c>
      <c r="E23" s="298"/>
      <c r="F23" s="299"/>
      <c r="G23" s="300"/>
    </row>
    <row r="24" spans="1:7">
      <c r="A24" s="460"/>
      <c r="B24" s="345"/>
      <c r="C24" s="148"/>
      <c r="D24" s="157"/>
      <c r="E24" s="92"/>
      <c r="F24" s="92"/>
      <c r="G24" s="94"/>
    </row>
    <row r="25" spans="1:7" ht="12.75" customHeight="1">
      <c r="A25" s="153" t="s">
        <v>374</v>
      </c>
      <c r="B25" s="345" t="str">
        <f>B114</f>
        <v>CONCRETE FRAMES</v>
      </c>
      <c r="C25" s="148"/>
      <c r="D25" s="157" t="s">
        <v>143</v>
      </c>
      <c r="E25" s="298"/>
      <c r="F25" s="299"/>
      <c r="G25" s="300"/>
    </row>
    <row r="26" spans="1:7">
      <c r="A26" s="153"/>
      <c r="B26" s="345"/>
      <c r="C26" s="148"/>
      <c r="D26" s="157"/>
      <c r="E26" s="92"/>
      <c r="F26" s="92"/>
      <c r="G26" s="94"/>
    </row>
    <row r="27" spans="1:7" ht="12.75" customHeight="1">
      <c r="A27" s="153" t="s">
        <v>375</v>
      </c>
      <c r="B27" s="345" t="str">
        <f>B142</f>
        <v>MASONRY WORKS</v>
      </c>
      <c r="C27" s="148"/>
      <c r="D27" s="157" t="s">
        <v>143</v>
      </c>
      <c r="E27" s="298"/>
      <c r="F27" s="299"/>
      <c r="G27" s="300"/>
    </row>
    <row r="28" spans="1:7">
      <c r="A28" s="153"/>
      <c r="B28" s="345"/>
      <c r="C28" s="148"/>
      <c r="D28" s="157"/>
      <c r="E28" s="92"/>
      <c r="F28" s="92"/>
      <c r="G28" s="94"/>
    </row>
    <row r="29" spans="1:7" ht="12.75" customHeight="1">
      <c r="A29" s="153" t="s">
        <v>376</v>
      </c>
      <c r="B29" s="345" t="str">
        <f>B148</f>
        <v xml:space="preserve"> WALL FINISHES</v>
      </c>
      <c r="C29" s="148"/>
      <c r="D29" s="157" t="s">
        <v>143</v>
      </c>
      <c r="E29" s="298"/>
      <c r="F29" s="299"/>
      <c r="G29" s="300"/>
    </row>
    <row r="30" spans="1:7">
      <c r="A30" s="153"/>
      <c r="B30" s="345"/>
      <c r="C30" s="148"/>
      <c r="D30" s="157"/>
      <c r="E30" s="92"/>
      <c r="F30" s="92"/>
      <c r="G30" s="94"/>
    </row>
    <row r="31" spans="1:7" ht="12.75" customHeight="1">
      <c r="A31" s="153" t="s">
        <v>377</v>
      </c>
      <c r="B31" s="345" t="str">
        <f>B159</f>
        <v>DOORS &amp; WINDOWS</v>
      </c>
      <c r="C31" s="148"/>
      <c r="D31" s="157" t="s">
        <v>143</v>
      </c>
      <c r="E31" s="298"/>
      <c r="F31" s="299"/>
      <c r="G31" s="300"/>
    </row>
    <row r="32" spans="1:7">
      <c r="A32" s="153"/>
      <c r="B32" s="345"/>
      <c r="C32" s="148"/>
      <c r="D32" s="157"/>
      <c r="E32" s="92"/>
      <c r="F32" s="92"/>
      <c r="G32" s="94"/>
    </row>
    <row r="33" spans="1:8" ht="12.75" customHeight="1">
      <c r="A33" s="153" t="s">
        <v>378</v>
      </c>
      <c r="B33" s="345" t="str">
        <f>B171</f>
        <v>ELECTRICAL FIXTURES AND FITTINGS</v>
      </c>
      <c r="C33" s="148"/>
      <c r="D33" s="157" t="s">
        <v>143</v>
      </c>
      <c r="E33" s="298"/>
      <c r="F33" s="299"/>
      <c r="G33" s="300"/>
    </row>
    <row r="34" spans="1:8">
      <c r="A34" s="153"/>
      <c r="B34" s="345"/>
      <c r="C34" s="148"/>
      <c r="D34" s="157"/>
      <c r="E34" s="92"/>
      <c r="F34" s="92"/>
      <c r="G34" s="94"/>
    </row>
    <row r="35" spans="1:8" ht="12.75" customHeight="1">
      <c r="A35" s="153" t="s">
        <v>379</v>
      </c>
      <c r="B35" s="345" t="str">
        <f>B180</f>
        <v>ADDITIONS &amp; OMISSIONS</v>
      </c>
      <c r="C35" s="148"/>
      <c r="D35" s="157" t="s">
        <v>143</v>
      </c>
      <c r="E35" s="298"/>
      <c r="F35" s="299"/>
      <c r="G35" s="300"/>
    </row>
    <row r="36" spans="1:8">
      <c r="A36" s="297"/>
      <c r="B36" s="336"/>
      <c r="C36" s="148"/>
      <c r="D36" s="160"/>
      <c r="E36" s="92"/>
      <c r="F36" s="93"/>
      <c r="G36" s="94"/>
    </row>
    <row r="37" spans="1:8">
      <c r="A37" s="154" t="s">
        <v>381</v>
      </c>
      <c r="B37" s="341"/>
      <c r="C37" s="148"/>
      <c r="D37" s="160" t="s">
        <v>143</v>
      </c>
      <c r="E37" s="301"/>
      <c r="F37" s="302"/>
      <c r="G37" s="303"/>
    </row>
    <row r="38" spans="1:8">
      <c r="A38" s="154"/>
      <c r="B38" s="347"/>
      <c r="C38" s="153"/>
      <c r="D38" s="153"/>
      <c r="E38" s="92"/>
      <c r="F38" s="92"/>
      <c r="G38" s="94"/>
    </row>
    <row r="39" spans="1:8">
      <c r="A39" s="154"/>
      <c r="B39" s="347"/>
      <c r="C39" s="153"/>
      <c r="D39" s="153"/>
      <c r="E39" s="92"/>
      <c r="F39" s="93"/>
      <c r="G39" s="94"/>
    </row>
    <row r="40" spans="1:8">
      <c r="A40" s="154"/>
      <c r="B40" s="347"/>
      <c r="C40" s="153"/>
      <c r="D40" s="153"/>
      <c r="E40" s="92"/>
      <c r="F40" s="93"/>
      <c r="G40" s="94"/>
    </row>
    <row r="41" spans="1:8">
      <c r="A41" s="154"/>
      <c r="B41" s="347"/>
      <c r="C41" s="153"/>
      <c r="D41" s="153"/>
      <c r="E41" s="92"/>
      <c r="F41" s="93"/>
      <c r="G41" s="94"/>
    </row>
    <row r="42" spans="1:8">
      <c r="A42" s="297"/>
      <c r="B42" s="347"/>
      <c r="C42" s="153"/>
      <c r="D42" s="153"/>
      <c r="E42" s="92"/>
      <c r="F42" s="93"/>
      <c r="G42" s="94"/>
    </row>
    <row r="43" spans="1:8">
      <c r="A43" s="297"/>
      <c r="B43" s="347"/>
      <c r="C43" s="153"/>
      <c r="D43" s="153"/>
      <c r="E43" s="92"/>
      <c r="F43" s="93"/>
      <c r="G43" s="94"/>
    </row>
    <row r="44" spans="1:8">
      <c r="A44" s="297"/>
      <c r="B44" s="347"/>
      <c r="C44" s="153"/>
      <c r="D44" s="153"/>
      <c r="E44" s="92"/>
      <c r="F44" s="93"/>
      <c r="G44" s="94"/>
    </row>
    <row r="45" spans="1:8" ht="18.75">
      <c r="A45" s="137" t="s">
        <v>116</v>
      </c>
      <c r="B45" s="144"/>
      <c r="C45" s="138"/>
      <c r="D45" s="139"/>
      <c r="E45" s="79"/>
      <c r="F45" s="80"/>
      <c r="G45" s="78"/>
    </row>
    <row r="46" spans="1:8">
      <c r="A46" s="144" t="s">
        <v>81</v>
      </c>
      <c r="B46" s="336"/>
      <c r="C46" s="138"/>
      <c r="D46" s="139"/>
      <c r="E46" s="77"/>
      <c r="F46" s="81"/>
      <c r="G46" s="78"/>
    </row>
    <row r="47" spans="1:8" s="81" customFormat="1">
      <c r="A47" s="144" t="s">
        <v>82</v>
      </c>
      <c r="B47" s="336"/>
      <c r="C47" s="138"/>
      <c r="D47" s="139"/>
      <c r="E47" s="77"/>
      <c r="G47" s="78"/>
      <c r="H47" s="447"/>
    </row>
    <row r="48" spans="1:8" s="81" customFormat="1">
      <c r="A48" s="144">
        <v>0</v>
      </c>
      <c r="B48" s="336"/>
      <c r="C48" s="138"/>
      <c r="D48" s="139"/>
      <c r="E48" s="77"/>
      <c r="G48" s="78"/>
      <c r="H48" s="447"/>
    </row>
    <row r="49" spans="1:8" s="81" customFormat="1">
      <c r="A49" s="144" t="str">
        <f>'BOQ Ground Floor'!A5</f>
        <v>DATE: 27th MAY 2015</v>
      </c>
      <c r="B49" s="336"/>
      <c r="C49" s="138"/>
      <c r="D49" s="139"/>
      <c r="E49" s="77"/>
      <c r="G49" s="78"/>
      <c r="H49" s="447"/>
    </row>
    <row r="50" spans="1:8" s="81" customFormat="1">
      <c r="A50" s="144">
        <v>0</v>
      </c>
      <c r="B50" s="336"/>
      <c r="C50" s="138"/>
      <c r="D50" s="139"/>
      <c r="E50" s="77"/>
      <c r="G50" s="78"/>
      <c r="H50" s="447"/>
    </row>
    <row r="51" spans="1:8" s="81" customFormat="1">
      <c r="A51" s="350" t="s">
        <v>165</v>
      </c>
      <c r="B51" s="336"/>
      <c r="C51" s="142"/>
      <c r="D51" s="139"/>
      <c r="E51" s="82"/>
      <c r="G51" s="78"/>
      <c r="H51" s="447"/>
    </row>
    <row r="52" spans="1:8" s="81" customFormat="1">
      <c r="A52" s="143" t="s">
        <v>144</v>
      </c>
      <c r="B52" s="336"/>
      <c r="C52" s="143"/>
      <c r="D52" s="143"/>
      <c r="E52" s="83"/>
      <c r="G52" s="78"/>
      <c r="H52" s="447"/>
    </row>
    <row r="53" spans="1:8" s="81" customFormat="1">
      <c r="A53" s="144" t="s">
        <v>597</v>
      </c>
      <c r="B53" s="336"/>
      <c r="C53" s="144"/>
      <c r="D53" s="139"/>
      <c r="E53" s="77"/>
      <c r="F53" s="81" t="s">
        <v>1</v>
      </c>
      <c r="G53" s="78" t="s">
        <v>1</v>
      </c>
      <c r="H53" s="447"/>
    </row>
    <row r="54" spans="1:8" s="81" customFormat="1">
      <c r="A54" s="351"/>
      <c r="B54" s="336"/>
      <c r="C54" s="144"/>
      <c r="D54" s="139"/>
      <c r="E54" s="77"/>
      <c r="G54" s="78"/>
      <c r="H54" s="447"/>
    </row>
    <row r="55" spans="1:8" s="81" customFormat="1">
      <c r="A55" s="352"/>
      <c r="B55" s="144"/>
      <c r="C55" s="139"/>
      <c r="D55" s="138"/>
      <c r="E55" s="79"/>
      <c r="F55" s="80"/>
      <c r="G55" s="94"/>
      <c r="H55" s="447"/>
    </row>
    <row r="56" spans="1:8" s="81" customFormat="1" ht="18.75">
      <c r="A56" s="462" t="s">
        <v>29</v>
      </c>
      <c r="B56" s="462"/>
      <c r="C56" s="462"/>
      <c r="D56" s="462"/>
      <c r="E56" s="89"/>
      <c r="F56" s="89"/>
      <c r="G56" s="89"/>
      <c r="H56" s="447"/>
    </row>
    <row r="57" spans="1:8" s="94" customFormat="1">
      <c r="A57" s="151"/>
      <c r="B57" s="151"/>
      <c r="C57" s="151"/>
      <c r="D57" s="151"/>
      <c r="E57" s="90"/>
      <c r="F57" s="90"/>
      <c r="G57" s="90"/>
    </row>
    <row r="58" spans="1:8" s="94" customFormat="1">
      <c r="A58" s="463" t="s">
        <v>33</v>
      </c>
      <c r="B58" s="463" t="s">
        <v>34</v>
      </c>
      <c r="C58" s="464" t="s">
        <v>35</v>
      </c>
      <c r="D58" s="463" t="s">
        <v>36</v>
      </c>
      <c r="E58" s="449" t="s">
        <v>37</v>
      </c>
      <c r="F58" s="449" t="s">
        <v>38</v>
      </c>
      <c r="G58" s="448" t="s">
        <v>39</v>
      </c>
    </row>
    <row r="59" spans="1:8" s="94" customFormat="1">
      <c r="A59" s="171"/>
      <c r="B59" s="171"/>
      <c r="C59" s="465"/>
      <c r="D59" s="171"/>
      <c r="E59" s="323"/>
      <c r="F59" s="323"/>
      <c r="G59" s="98"/>
    </row>
    <row r="60" spans="1:8" s="94" customFormat="1">
      <c r="A60" s="174"/>
      <c r="B60" s="466" t="s">
        <v>387</v>
      </c>
      <c r="C60" s="467"/>
      <c r="D60" s="174"/>
      <c r="E60" s="305"/>
      <c r="F60" s="305"/>
      <c r="G60" s="99"/>
    </row>
    <row r="61" spans="1:8" s="94" customFormat="1">
      <c r="A61" s="174"/>
      <c r="B61" s="468"/>
      <c r="C61" s="467"/>
      <c r="D61" s="174"/>
      <c r="E61" s="305"/>
      <c r="F61" s="305"/>
      <c r="G61" s="99"/>
    </row>
    <row r="62" spans="1:8" s="94" customFormat="1">
      <c r="A62" s="174" t="s">
        <v>347</v>
      </c>
      <c r="B62" s="384" t="s">
        <v>146</v>
      </c>
      <c r="C62" s="469"/>
      <c r="D62" s="177"/>
      <c r="E62" s="305"/>
      <c r="F62" s="305"/>
      <c r="G62" s="99"/>
    </row>
    <row r="63" spans="1:8" s="94" customFormat="1" ht="48">
      <c r="A63" s="178" t="s">
        <v>8</v>
      </c>
      <c r="B63" s="397" t="s">
        <v>148</v>
      </c>
      <c r="C63" s="470">
        <f>((107.346+1.8+4.6)*0.7)</f>
        <v>79.622199999999992</v>
      </c>
      <c r="D63" s="180" t="s">
        <v>532</v>
      </c>
      <c r="F63" s="305"/>
      <c r="G63" s="99"/>
    </row>
    <row r="64" spans="1:8" s="94" customFormat="1">
      <c r="A64" s="178"/>
      <c r="B64" s="397"/>
      <c r="C64" s="470"/>
      <c r="D64" s="180"/>
      <c r="E64" s="305"/>
      <c r="F64" s="305"/>
      <c r="G64" s="99"/>
    </row>
    <row r="65" spans="1:7" s="94" customFormat="1">
      <c r="A65" s="178"/>
      <c r="B65" s="468"/>
      <c r="C65" s="470"/>
      <c r="D65" s="180"/>
      <c r="E65" s="305"/>
      <c r="F65" s="305"/>
      <c r="G65" s="99"/>
    </row>
    <row r="66" spans="1:7" s="94" customFormat="1">
      <c r="A66" s="174" t="s">
        <v>373</v>
      </c>
      <c r="B66" s="471" t="s">
        <v>147</v>
      </c>
      <c r="C66" s="470"/>
      <c r="D66" s="182"/>
      <c r="E66" s="305"/>
      <c r="F66" s="305"/>
      <c r="G66" s="99"/>
    </row>
    <row r="67" spans="1:7" s="94" customFormat="1" ht="48">
      <c r="A67" s="183"/>
      <c r="B67" s="360" t="s">
        <v>149</v>
      </c>
      <c r="C67" s="470"/>
      <c r="D67" s="185"/>
      <c r="E67" s="305"/>
      <c r="F67" s="305"/>
      <c r="G67" s="99"/>
    </row>
    <row r="68" spans="1:7" s="94" customFormat="1">
      <c r="A68" s="183" t="s">
        <v>8</v>
      </c>
      <c r="B68" s="222" t="s">
        <v>576</v>
      </c>
      <c r="C68" s="472">
        <f>(36*0.55*0.55*0.65)</f>
        <v>7.0785000000000009</v>
      </c>
      <c r="D68" s="185" t="s">
        <v>534</v>
      </c>
      <c r="E68" s="305"/>
      <c r="F68" s="305"/>
      <c r="G68" s="99"/>
    </row>
    <row r="69" spans="1:7" s="94" customFormat="1">
      <c r="A69" s="183" t="s">
        <v>9</v>
      </c>
      <c r="B69" s="222" t="s">
        <v>573</v>
      </c>
      <c r="C69" s="470">
        <f>((107.346-(0.15*36))*0.25*0.25)</f>
        <v>6.3716249999999999</v>
      </c>
      <c r="D69" s="185" t="s">
        <v>534</v>
      </c>
      <c r="E69" s="305"/>
      <c r="F69" s="305"/>
      <c r="G69" s="99"/>
    </row>
    <row r="70" spans="1:7" s="94" customFormat="1">
      <c r="A70" s="183" t="s">
        <v>10</v>
      </c>
      <c r="B70" s="222" t="s">
        <v>574</v>
      </c>
      <c r="C70" s="470">
        <f>2*0.9*1.05*0.65</f>
        <v>1.2285000000000001</v>
      </c>
      <c r="D70" s="185" t="s">
        <v>534</v>
      </c>
      <c r="E70" s="305"/>
      <c r="F70" s="305"/>
      <c r="G70" s="99"/>
    </row>
    <row r="71" spans="1:7" s="94" customFormat="1">
      <c r="A71" s="183" t="s">
        <v>11</v>
      </c>
      <c r="B71" s="222" t="s">
        <v>575</v>
      </c>
      <c r="C71" s="470">
        <f>2*0.9*0.9*0.65</f>
        <v>1.0530000000000002</v>
      </c>
      <c r="D71" s="185" t="s">
        <v>534</v>
      </c>
      <c r="E71" s="305"/>
      <c r="F71" s="305"/>
      <c r="G71" s="99"/>
    </row>
    <row r="72" spans="1:7" s="94" customFormat="1">
      <c r="A72" s="183"/>
      <c r="B72" s="188"/>
      <c r="C72" s="470"/>
      <c r="D72" s="336"/>
      <c r="E72" s="305"/>
      <c r="F72" s="305"/>
      <c r="G72" s="99"/>
    </row>
    <row r="73" spans="1:7" s="94" customFormat="1" ht="24">
      <c r="A73" s="183"/>
      <c r="B73" s="360" t="s">
        <v>152</v>
      </c>
      <c r="C73" s="470"/>
      <c r="D73" s="185"/>
      <c r="E73" s="305"/>
      <c r="F73" s="305"/>
      <c r="G73" s="99"/>
    </row>
    <row r="74" spans="1:7" s="94" customFormat="1">
      <c r="A74" s="183" t="s">
        <v>8</v>
      </c>
      <c r="B74" s="222" t="s">
        <v>576</v>
      </c>
      <c r="C74" s="472">
        <f>36*0.55*0.55</f>
        <v>10.89</v>
      </c>
      <c r="D74" s="185" t="s">
        <v>532</v>
      </c>
      <c r="E74" s="305"/>
      <c r="F74" s="305"/>
      <c r="G74" s="99"/>
    </row>
    <row r="75" spans="1:7" s="94" customFormat="1">
      <c r="A75" s="183" t="s">
        <v>9</v>
      </c>
      <c r="B75" s="222" t="s">
        <v>573</v>
      </c>
      <c r="C75" s="470">
        <f>(107.346-(0.15*36))*0.25</f>
        <v>25.486499999999999</v>
      </c>
      <c r="D75" s="185" t="s">
        <v>532</v>
      </c>
      <c r="E75" s="305"/>
      <c r="F75" s="305"/>
      <c r="G75" s="99"/>
    </row>
    <row r="76" spans="1:7" s="94" customFormat="1">
      <c r="A76" s="183" t="s">
        <v>10</v>
      </c>
      <c r="B76" s="222" t="s">
        <v>574</v>
      </c>
      <c r="C76" s="470">
        <f>2*0.95*1.05</f>
        <v>1.9949999999999999</v>
      </c>
      <c r="D76" s="185" t="s">
        <v>532</v>
      </c>
      <c r="E76" s="305"/>
      <c r="F76" s="305"/>
      <c r="G76" s="99"/>
    </row>
    <row r="77" spans="1:7" s="94" customFormat="1">
      <c r="A77" s="183" t="s">
        <v>11</v>
      </c>
      <c r="B77" s="222" t="s">
        <v>575</v>
      </c>
      <c r="C77" s="470">
        <f>2*0.95*0.95</f>
        <v>1.8049999999999999</v>
      </c>
      <c r="D77" s="185" t="s">
        <v>532</v>
      </c>
      <c r="E77" s="305"/>
      <c r="F77" s="305"/>
      <c r="G77" s="99"/>
    </row>
    <row r="78" spans="1:7" s="94" customFormat="1">
      <c r="A78" s="183"/>
      <c r="B78" s="188"/>
      <c r="C78" s="470"/>
      <c r="D78" s="185"/>
      <c r="E78" s="305"/>
      <c r="F78" s="305"/>
      <c r="G78" s="99"/>
    </row>
    <row r="79" spans="1:7" s="94" customFormat="1" ht="36">
      <c r="A79" s="183"/>
      <c r="B79" s="360" t="s">
        <v>404</v>
      </c>
      <c r="C79" s="470"/>
      <c r="D79" s="185"/>
      <c r="E79" s="305"/>
      <c r="F79" s="305"/>
      <c r="G79" s="99"/>
    </row>
    <row r="80" spans="1:7" s="94" customFormat="1">
      <c r="A80" s="183" t="s">
        <v>8</v>
      </c>
      <c r="B80" s="222" t="s">
        <v>576</v>
      </c>
      <c r="C80" s="472">
        <f>(36*0.45*0.45*0.3)</f>
        <v>2.1869999999999998</v>
      </c>
      <c r="D80" s="185" t="s">
        <v>533</v>
      </c>
      <c r="E80" s="305"/>
      <c r="F80" s="305"/>
      <c r="G80" s="99"/>
    </row>
    <row r="81" spans="1:7" s="94" customFormat="1">
      <c r="A81" s="183" t="s">
        <v>9</v>
      </c>
      <c r="B81" s="222" t="s">
        <v>573</v>
      </c>
      <c r="C81" s="470">
        <f>((107.346-(0.15*36))*0.2*0.25)</f>
        <v>5.0973000000000006</v>
      </c>
      <c r="D81" s="185" t="s">
        <v>534</v>
      </c>
      <c r="E81" s="305"/>
      <c r="F81" s="305"/>
      <c r="G81" s="99"/>
    </row>
    <row r="82" spans="1:7" s="94" customFormat="1">
      <c r="A82" s="183" t="s">
        <v>10</v>
      </c>
      <c r="B82" s="222" t="s">
        <v>574</v>
      </c>
      <c r="C82" s="470">
        <f>2*0.85*1*0.3</f>
        <v>0.51</v>
      </c>
      <c r="D82" s="185" t="s">
        <v>534</v>
      </c>
      <c r="E82" s="305"/>
      <c r="F82" s="305"/>
      <c r="G82" s="99"/>
    </row>
    <row r="83" spans="1:7" s="94" customFormat="1">
      <c r="A83" s="183" t="s">
        <v>11</v>
      </c>
      <c r="B83" s="222" t="s">
        <v>575</v>
      </c>
      <c r="C83" s="470">
        <f>2*0.85*0.85*0.3</f>
        <v>0.43349999999999994</v>
      </c>
      <c r="D83" s="185" t="s">
        <v>534</v>
      </c>
      <c r="E83" s="305"/>
      <c r="F83" s="305"/>
      <c r="G83" s="99"/>
    </row>
    <row r="84" spans="1:7" s="94" customFormat="1">
      <c r="A84" s="183"/>
      <c r="B84" s="361"/>
      <c r="C84" s="470"/>
      <c r="D84" s="185"/>
      <c r="E84" s="305"/>
      <c r="F84" s="305"/>
      <c r="G84" s="99"/>
    </row>
    <row r="85" spans="1:7" s="94" customFormat="1" ht="24">
      <c r="A85" s="183"/>
      <c r="B85" s="360" t="s">
        <v>153</v>
      </c>
      <c r="C85" s="470"/>
      <c r="D85" s="185"/>
      <c r="E85" s="305"/>
      <c r="F85" s="305"/>
      <c r="G85" s="99"/>
    </row>
    <row r="86" spans="1:7" s="94" customFormat="1">
      <c r="A86" s="183" t="s">
        <v>8</v>
      </c>
      <c r="B86" s="222" t="s">
        <v>576</v>
      </c>
      <c r="C86" s="472">
        <f>(36*(0.45*4)*0.3)</f>
        <v>19.439999999999998</v>
      </c>
      <c r="D86" s="185" t="s">
        <v>534</v>
      </c>
      <c r="E86" s="305"/>
      <c r="F86" s="305"/>
      <c r="G86" s="99"/>
    </row>
    <row r="87" spans="1:7" s="94" customFormat="1">
      <c r="A87" s="183" t="s">
        <v>9</v>
      </c>
      <c r="B87" s="222" t="s">
        <v>573</v>
      </c>
      <c r="C87" s="470">
        <f>((107.346-(0.15*36))*0.25*2)</f>
        <v>50.972999999999999</v>
      </c>
      <c r="D87" s="185" t="s">
        <v>534</v>
      </c>
      <c r="E87" s="305"/>
      <c r="F87" s="305"/>
      <c r="G87" s="99"/>
    </row>
    <row r="88" spans="1:7" s="94" customFormat="1">
      <c r="A88" s="183" t="s">
        <v>10</v>
      </c>
      <c r="B88" s="222" t="s">
        <v>574</v>
      </c>
      <c r="C88" s="470">
        <f>2*((0.85+1)*2)*0.3</f>
        <v>2.2200000000000002</v>
      </c>
      <c r="D88" s="185" t="s">
        <v>534</v>
      </c>
      <c r="E88" s="305"/>
      <c r="F88" s="305"/>
      <c r="G88" s="99"/>
    </row>
    <row r="89" spans="1:7" s="94" customFormat="1">
      <c r="A89" s="183" t="s">
        <v>11</v>
      </c>
      <c r="B89" s="222" t="s">
        <v>575</v>
      </c>
      <c r="C89" s="470">
        <f>2*((0.85+0.85)*2)*0.3</f>
        <v>2.04</v>
      </c>
      <c r="D89" s="185" t="s">
        <v>534</v>
      </c>
      <c r="E89" s="305"/>
      <c r="F89" s="305"/>
      <c r="G89" s="99"/>
    </row>
    <row r="90" spans="1:7" s="94" customFormat="1">
      <c r="A90" s="183"/>
      <c r="B90" s="188"/>
      <c r="C90" s="470"/>
      <c r="D90" s="185"/>
      <c r="E90" s="305"/>
      <c r="F90" s="305"/>
      <c r="G90" s="99"/>
    </row>
    <row r="91" spans="1:7" s="94" customFormat="1" ht="24">
      <c r="A91" s="183"/>
      <c r="B91" s="360" t="s">
        <v>30</v>
      </c>
      <c r="C91" s="470"/>
      <c r="D91" s="185"/>
      <c r="E91" s="305"/>
      <c r="F91" s="305"/>
      <c r="G91" s="99"/>
    </row>
    <row r="92" spans="1:7" s="94" customFormat="1">
      <c r="A92" s="183" t="s">
        <v>8</v>
      </c>
      <c r="B92" s="222" t="s">
        <v>576</v>
      </c>
      <c r="C92" s="472"/>
      <c r="D92" s="185"/>
      <c r="E92" s="305"/>
      <c r="F92" s="305"/>
      <c r="G92" s="99"/>
    </row>
    <row r="93" spans="1:7" s="94" customFormat="1">
      <c r="A93" s="183"/>
      <c r="B93" s="188" t="s">
        <v>357</v>
      </c>
      <c r="C93" s="472">
        <f>0.55*6*36*(10*10/162)</f>
        <v>73.333333333333343</v>
      </c>
      <c r="D93" s="185" t="s">
        <v>3</v>
      </c>
      <c r="E93" s="305"/>
      <c r="F93" s="305"/>
      <c r="G93" s="99"/>
    </row>
    <row r="94" spans="1:7" s="94" customFormat="1">
      <c r="A94" s="189"/>
      <c r="B94" s="366"/>
      <c r="C94" s="473"/>
      <c r="D94" s="192"/>
      <c r="E94" s="324"/>
      <c r="F94" s="324"/>
      <c r="G94" s="101"/>
    </row>
    <row r="95" spans="1:7" s="94" customFormat="1">
      <c r="A95" s="193"/>
      <c r="B95" s="368"/>
      <c r="C95" s="474"/>
      <c r="D95" s="196"/>
      <c r="E95" s="323"/>
      <c r="F95" s="323"/>
      <c r="G95" s="98"/>
    </row>
    <row r="96" spans="1:7" s="94" customFormat="1">
      <c r="A96" s="183" t="s">
        <v>9</v>
      </c>
      <c r="B96" s="222" t="s">
        <v>573</v>
      </c>
      <c r="C96" s="470"/>
      <c r="D96" s="185"/>
      <c r="E96" s="305"/>
      <c r="F96" s="305"/>
      <c r="G96" s="99"/>
    </row>
    <row r="97" spans="1:7" s="94" customFormat="1">
      <c r="A97" s="183"/>
      <c r="B97" s="188" t="s">
        <v>358</v>
      </c>
      <c r="C97" s="470">
        <f>102*4*(12*12/162)</f>
        <v>362.66666666666663</v>
      </c>
      <c r="D97" s="185" t="s">
        <v>3</v>
      </c>
      <c r="E97" s="305"/>
      <c r="F97" s="305"/>
      <c r="G97" s="99"/>
    </row>
    <row r="98" spans="1:7" s="94" customFormat="1">
      <c r="A98" s="183"/>
      <c r="B98" s="188" t="s">
        <v>359</v>
      </c>
      <c r="C98" s="472">
        <f>(102/0.15+1)*0.62*(6*6/162)</f>
        <v>93.826666666666654</v>
      </c>
      <c r="D98" s="185" t="s">
        <v>3</v>
      </c>
      <c r="E98" s="305"/>
      <c r="F98" s="305"/>
      <c r="G98" s="99"/>
    </row>
    <row r="99" spans="1:7" s="94" customFormat="1">
      <c r="A99" s="183"/>
      <c r="B99" s="188"/>
      <c r="C99" s="472"/>
      <c r="D99" s="185"/>
      <c r="E99" s="305"/>
      <c r="F99" s="305"/>
      <c r="G99" s="99"/>
    </row>
    <row r="100" spans="1:7" s="94" customFormat="1">
      <c r="A100" s="183" t="s">
        <v>10</v>
      </c>
      <c r="B100" s="222" t="s">
        <v>574</v>
      </c>
      <c r="C100" s="470"/>
      <c r="D100" s="185"/>
      <c r="E100" s="305"/>
      <c r="F100" s="305"/>
      <c r="G100" s="99"/>
    </row>
    <row r="101" spans="1:7" s="94" customFormat="1">
      <c r="A101" s="183"/>
      <c r="B101" s="188" t="s">
        <v>360</v>
      </c>
      <c r="C101" s="472">
        <f>1.1*7*2*(12*12/162)</f>
        <v>13.68888888888889</v>
      </c>
      <c r="D101" s="185" t="s">
        <v>3</v>
      </c>
      <c r="E101" s="305"/>
      <c r="F101" s="305"/>
      <c r="G101" s="99"/>
    </row>
    <row r="102" spans="1:7" s="94" customFormat="1">
      <c r="A102" s="183"/>
      <c r="B102" s="188"/>
      <c r="C102" s="470"/>
      <c r="D102" s="185"/>
      <c r="E102" s="305"/>
      <c r="F102" s="305"/>
      <c r="G102" s="99"/>
    </row>
    <row r="103" spans="1:7" s="94" customFormat="1">
      <c r="A103" s="183" t="s">
        <v>11</v>
      </c>
      <c r="B103" s="222" t="s">
        <v>575</v>
      </c>
      <c r="C103" s="470"/>
      <c r="D103" s="185"/>
      <c r="E103" s="305"/>
      <c r="F103" s="305"/>
      <c r="G103" s="99"/>
    </row>
    <row r="104" spans="1:7" s="94" customFormat="1">
      <c r="A104" s="183"/>
      <c r="B104" s="188" t="s">
        <v>361</v>
      </c>
      <c r="C104" s="472">
        <f>0.95*6*2*(12*12/162)</f>
        <v>10.133333333333331</v>
      </c>
      <c r="D104" s="185" t="s">
        <v>3</v>
      </c>
      <c r="E104" s="305"/>
      <c r="F104" s="305"/>
      <c r="G104" s="99"/>
    </row>
    <row r="105" spans="1:7" s="94" customFormat="1">
      <c r="A105" s="183"/>
      <c r="B105" s="188"/>
      <c r="C105" s="470"/>
      <c r="D105" s="185"/>
      <c r="E105" s="305"/>
      <c r="F105" s="305"/>
      <c r="G105" s="99"/>
    </row>
    <row r="106" spans="1:7" s="94" customFormat="1" ht="36">
      <c r="A106" s="183"/>
      <c r="B106" s="360" t="s">
        <v>154</v>
      </c>
      <c r="C106" s="470"/>
      <c r="D106" s="185"/>
      <c r="E106" s="305"/>
      <c r="F106" s="305"/>
      <c r="G106" s="99"/>
    </row>
    <row r="107" spans="1:7" s="94" customFormat="1">
      <c r="A107" s="183" t="s">
        <v>8</v>
      </c>
      <c r="B107" s="222" t="s">
        <v>576</v>
      </c>
      <c r="C107" s="472">
        <f>(36*(0.45*4)*0.3)+(0.25*0.45*36)</f>
        <v>23.49</v>
      </c>
      <c r="D107" s="185" t="s">
        <v>532</v>
      </c>
      <c r="E107" s="305"/>
      <c r="F107" s="305"/>
      <c r="G107" s="99"/>
    </row>
    <row r="108" spans="1:7" s="94" customFormat="1">
      <c r="A108" s="183" t="s">
        <v>9</v>
      </c>
      <c r="B108" s="222" t="s">
        <v>573</v>
      </c>
      <c r="C108" s="470">
        <f>((107.346-(0.15*36))*0.25*2)</f>
        <v>50.972999999999999</v>
      </c>
      <c r="D108" s="185" t="s">
        <v>532</v>
      </c>
      <c r="E108" s="305"/>
      <c r="F108" s="305"/>
      <c r="G108" s="99"/>
    </row>
    <row r="109" spans="1:7" s="94" customFormat="1">
      <c r="A109" s="183" t="s">
        <v>10</v>
      </c>
      <c r="B109" s="222" t="s">
        <v>574</v>
      </c>
      <c r="C109" s="470">
        <f>(2*((0.85+1)*2)*0.3)+(0.6*0.85*2)+(0.6*0.4*2)</f>
        <v>3.72</v>
      </c>
      <c r="D109" s="185" t="s">
        <v>532</v>
      </c>
      <c r="E109" s="305"/>
      <c r="F109" s="305"/>
      <c r="G109" s="99"/>
    </row>
    <row r="110" spans="1:7" s="94" customFormat="1">
      <c r="A110" s="183" t="s">
        <v>11</v>
      </c>
      <c r="B110" s="222" t="s">
        <v>575</v>
      </c>
      <c r="C110" s="470">
        <f>(2*((0.85+0.85)*2)*0.3)+(0.6*0.85*2)+(0.6*0.25*2)</f>
        <v>3.36</v>
      </c>
      <c r="D110" s="185" t="s">
        <v>532</v>
      </c>
      <c r="E110" s="305"/>
      <c r="F110" s="305"/>
      <c r="G110" s="99"/>
    </row>
    <row r="111" spans="1:7" s="94" customFormat="1">
      <c r="A111" s="183"/>
      <c r="B111" s="222"/>
      <c r="C111" s="470"/>
      <c r="D111" s="185"/>
      <c r="E111" s="305"/>
      <c r="F111" s="305"/>
      <c r="G111" s="99"/>
    </row>
    <row r="112" spans="1:7" s="94" customFormat="1">
      <c r="A112" s="183"/>
      <c r="B112" s="222"/>
      <c r="C112" s="470"/>
      <c r="D112" s="185"/>
      <c r="E112" s="305"/>
      <c r="F112" s="305"/>
      <c r="G112" s="99"/>
    </row>
    <row r="113" spans="1:10" s="94" customFormat="1">
      <c r="A113" s="183"/>
      <c r="B113" s="360"/>
      <c r="C113" s="470"/>
      <c r="D113" s="185"/>
      <c r="E113" s="305"/>
      <c r="F113" s="305"/>
      <c r="G113" s="99"/>
    </row>
    <row r="114" spans="1:10" s="94" customFormat="1">
      <c r="A114" s="174" t="s">
        <v>374</v>
      </c>
      <c r="B114" s="384" t="s">
        <v>42</v>
      </c>
      <c r="C114" s="469"/>
      <c r="D114" s="198"/>
      <c r="E114" s="305"/>
      <c r="F114" s="103">
        <v>0</v>
      </c>
      <c r="G114" s="104"/>
      <c r="H114" s="111"/>
      <c r="I114" s="450"/>
      <c r="J114" s="111"/>
    </row>
    <row r="115" spans="1:10" s="111" customFormat="1" ht="36">
      <c r="A115" s="199"/>
      <c r="B115" s="397" t="s">
        <v>404</v>
      </c>
      <c r="C115" s="470"/>
      <c r="D115" s="182"/>
      <c r="E115" s="103"/>
      <c r="F115" s="103">
        <v>0</v>
      </c>
      <c r="G115" s="2"/>
    </row>
    <row r="116" spans="1:10" s="94" customFormat="1">
      <c r="A116" s="183" t="s">
        <v>8</v>
      </c>
      <c r="B116" s="188" t="s">
        <v>365</v>
      </c>
      <c r="C116" s="472">
        <f>(36*2.9*0.15*0.15)</f>
        <v>2.3489999999999998</v>
      </c>
      <c r="D116" s="185" t="s">
        <v>534</v>
      </c>
      <c r="E116" s="305"/>
      <c r="F116" s="305"/>
      <c r="G116" s="99"/>
    </row>
    <row r="117" spans="1:10" s="94" customFormat="1">
      <c r="A117" s="183" t="s">
        <v>10</v>
      </c>
      <c r="B117" s="188" t="s">
        <v>363</v>
      </c>
      <c r="C117" s="470">
        <f>2*3.5*0.4*0.25</f>
        <v>0.70000000000000007</v>
      </c>
      <c r="D117" s="185" t="s">
        <v>534</v>
      </c>
      <c r="E117" s="305"/>
      <c r="F117" s="305"/>
      <c r="G117" s="99"/>
    </row>
    <row r="118" spans="1:10" s="94" customFormat="1">
      <c r="A118" s="183" t="s">
        <v>11</v>
      </c>
      <c r="B118" s="188" t="s">
        <v>364</v>
      </c>
      <c r="C118" s="470">
        <f>2.5*0.25*0.25*2</f>
        <v>0.3125</v>
      </c>
      <c r="D118" s="185" t="s">
        <v>534</v>
      </c>
      <c r="E118" s="305"/>
      <c r="F118" s="305"/>
      <c r="G118" s="99"/>
    </row>
    <row r="119" spans="1:10" s="111" customFormat="1">
      <c r="A119" s="199" t="s">
        <v>12</v>
      </c>
      <c r="B119" s="364" t="s">
        <v>362</v>
      </c>
      <c r="C119" s="470">
        <f>(108*0.15*0.15)</f>
        <v>2.4299999999999997</v>
      </c>
      <c r="D119" s="185" t="s">
        <v>534</v>
      </c>
      <c r="E119" s="103"/>
      <c r="F119" s="103"/>
      <c r="G119" s="2"/>
    </row>
    <row r="120" spans="1:10" s="111" customFormat="1">
      <c r="A120" s="208"/>
      <c r="B120" s="475"/>
      <c r="C120" s="476"/>
      <c r="D120" s="210"/>
      <c r="E120" s="112"/>
      <c r="F120" s="112"/>
      <c r="G120" s="113"/>
    </row>
    <row r="121" spans="1:10" s="111" customFormat="1" ht="24">
      <c r="A121" s="199" t="s">
        <v>1</v>
      </c>
      <c r="B121" s="477" t="s">
        <v>31</v>
      </c>
      <c r="C121" s="470"/>
      <c r="D121" s="182"/>
      <c r="E121" s="103"/>
      <c r="F121" s="103">
        <v>0</v>
      </c>
      <c r="G121" s="2"/>
    </row>
    <row r="122" spans="1:10" s="94" customFormat="1">
      <c r="A122" s="183" t="s">
        <v>8</v>
      </c>
      <c r="B122" s="188" t="s">
        <v>365</v>
      </c>
      <c r="C122" s="472">
        <f>(36*(2.9*0.15*4))</f>
        <v>62.64</v>
      </c>
      <c r="D122" s="185" t="s">
        <v>532</v>
      </c>
      <c r="E122" s="305"/>
      <c r="F122" s="305"/>
      <c r="G122" s="99"/>
    </row>
    <row r="123" spans="1:10" s="94" customFormat="1">
      <c r="A123" s="183" t="s">
        <v>10</v>
      </c>
      <c r="B123" s="188" t="s">
        <v>363</v>
      </c>
      <c r="C123" s="470">
        <f>2*((0.5+0.8)*3.5)</f>
        <v>9.1</v>
      </c>
      <c r="D123" s="185" t="s">
        <v>532</v>
      </c>
      <c r="E123" s="305"/>
      <c r="F123" s="305"/>
      <c r="G123" s="99"/>
    </row>
    <row r="124" spans="1:10" s="94" customFormat="1">
      <c r="A124" s="183" t="s">
        <v>11</v>
      </c>
      <c r="B124" s="188" t="s">
        <v>364</v>
      </c>
      <c r="C124" s="470">
        <f>2*((0.5+0.5)*3.5)</f>
        <v>7</v>
      </c>
      <c r="D124" s="185" t="s">
        <v>532</v>
      </c>
      <c r="E124" s="305"/>
      <c r="F124" s="305"/>
      <c r="G124" s="99"/>
    </row>
    <row r="125" spans="1:10" s="111" customFormat="1">
      <c r="A125" s="199" t="s">
        <v>12</v>
      </c>
      <c r="B125" s="364" t="s">
        <v>362</v>
      </c>
      <c r="C125" s="470">
        <f>(108*(0.15+0.15))</f>
        <v>32.4</v>
      </c>
      <c r="D125" s="185" t="s">
        <v>532</v>
      </c>
      <c r="E125" s="103"/>
      <c r="F125" s="103"/>
      <c r="G125" s="2"/>
    </row>
    <row r="126" spans="1:10" s="111" customFormat="1">
      <c r="A126" s="199"/>
      <c r="B126" s="364"/>
      <c r="C126" s="470"/>
      <c r="D126" s="185"/>
      <c r="E126" s="103"/>
      <c r="F126" s="103"/>
      <c r="G126" s="2"/>
    </row>
    <row r="127" spans="1:10" s="111" customFormat="1" ht="24">
      <c r="A127" s="199" t="s">
        <v>1</v>
      </c>
      <c r="B127" s="477" t="s">
        <v>30</v>
      </c>
      <c r="C127" s="470"/>
      <c r="D127" s="182"/>
      <c r="E127" s="103"/>
      <c r="F127" s="103">
        <v>0</v>
      </c>
      <c r="G127" s="2"/>
    </row>
    <row r="128" spans="1:10" s="94" customFormat="1">
      <c r="A128" s="183" t="s">
        <v>8</v>
      </c>
      <c r="B128" s="188" t="s">
        <v>365</v>
      </c>
      <c r="C128" s="472"/>
      <c r="D128" s="185"/>
      <c r="E128" s="305"/>
      <c r="F128" s="305"/>
      <c r="G128" s="99"/>
    </row>
    <row r="129" spans="1:7" s="111" customFormat="1">
      <c r="A129" s="199"/>
      <c r="B129" s="364" t="s">
        <v>398</v>
      </c>
      <c r="C129" s="470">
        <f>((2.9*4)*36)*0.617</f>
        <v>257.6592</v>
      </c>
      <c r="D129" s="182" t="s">
        <v>3</v>
      </c>
      <c r="E129" s="103"/>
      <c r="F129" s="103"/>
      <c r="G129" s="2"/>
    </row>
    <row r="130" spans="1:7" s="111" customFormat="1">
      <c r="A130" s="199"/>
      <c r="B130" s="364" t="s">
        <v>338</v>
      </c>
      <c r="C130" s="470">
        <f>(((2.9*36)/0.15)*0.6)*0.222</f>
        <v>92.7072</v>
      </c>
      <c r="D130" s="182" t="s">
        <v>3</v>
      </c>
      <c r="E130" s="103"/>
      <c r="F130" s="103"/>
      <c r="G130" s="2"/>
    </row>
    <row r="131" spans="1:7" s="94" customFormat="1">
      <c r="A131" s="183" t="s">
        <v>10</v>
      </c>
      <c r="B131" s="188" t="s">
        <v>363</v>
      </c>
      <c r="C131" s="470"/>
      <c r="D131" s="185"/>
      <c r="E131" s="305"/>
      <c r="F131" s="305"/>
      <c r="G131" s="99"/>
    </row>
    <row r="132" spans="1:7" s="111" customFormat="1">
      <c r="A132" s="199"/>
      <c r="B132" s="364" t="s">
        <v>399</v>
      </c>
      <c r="C132" s="470">
        <f>((3.5*4)*2)*0.888</f>
        <v>24.864000000000001</v>
      </c>
      <c r="D132" s="182" t="s">
        <v>3</v>
      </c>
      <c r="E132" s="103"/>
      <c r="F132" s="103"/>
      <c r="G132" s="2"/>
    </row>
    <row r="133" spans="1:7" s="111" customFormat="1">
      <c r="A133" s="199"/>
      <c r="B133" s="364" t="s">
        <v>338</v>
      </c>
      <c r="C133" s="470">
        <f>(((7/0.15)*1.3)*0.222)</f>
        <v>13.468000000000002</v>
      </c>
      <c r="D133" s="182" t="s">
        <v>3</v>
      </c>
      <c r="E133" s="103"/>
      <c r="F133" s="103"/>
      <c r="G133" s="2"/>
    </row>
    <row r="134" spans="1:7" s="94" customFormat="1">
      <c r="A134" s="183" t="s">
        <v>10</v>
      </c>
      <c r="B134" s="188" t="s">
        <v>364</v>
      </c>
      <c r="C134" s="470"/>
      <c r="D134" s="185"/>
      <c r="E134" s="305"/>
      <c r="F134" s="305"/>
      <c r="G134" s="99"/>
    </row>
    <row r="135" spans="1:7" s="111" customFormat="1">
      <c r="A135" s="199"/>
      <c r="B135" s="364" t="s">
        <v>400</v>
      </c>
      <c r="C135" s="470">
        <f>((1.915*2)*34)*0.617</f>
        <v>80.345739999999992</v>
      </c>
      <c r="D135" s="182" t="s">
        <v>3</v>
      </c>
      <c r="E135" s="103"/>
      <c r="F135" s="103"/>
      <c r="G135" s="2"/>
    </row>
    <row r="136" spans="1:7" s="111" customFormat="1">
      <c r="A136" s="199"/>
      <c r="B136" s="364" t="s">
        <v>338</v>
      </c>
      <c r="C136" s="470">
        <f>(((7/0.15)*1.1)*0.222)</f>
        <v>11.396000000000003</v>
      </c>
      <c r="D136" s="182" t="s">
        <v>3</v>
      </c>
      <c r="E136" s="103"/>
      <c r="F136" s="103"/>
      <c r="G136" s="2"/>
    </row>
    <row r="137" spans="1:7" s="94" customFormat="1">
      <c r="A137" s="199" t="s">
        <v>12</v>
      </c>
      <c r="B137" s="364" t="s">
        <v>362</v>
      </c>
      <c r="C137" s="470"/>
      <c r="D137" s="185"/>
      <c r="E137" s="305"/>
      <c r="F137" s="305"/>
      <c r="G137" s="99"/>
    </row>
    <row r="138" spans="1:7" s="111" customFormat="1">
      <c r="A138" s="199"/>
      <c r="B138" s="364" t="s">
        <v>398</v>
      </c>
      <c r="C138" s="470">
        <f>(108*4)*0.617</f>
        <v>266.54399999999998</v>
      </c>
      <c r="D138" s="182" t="s">
        <v>3</v>
      </c>
      <c r="E138" s="103"/>
      <c r="F138" s="103"/>
      <c r="G138" s="2"/>
    </row>
    <row r="139" spans="1:7" s="111" customFormat="1">
      <c r="A139" s="199"/>
      <c r="B139" s="364" t="s">
        <v>338</v>
      </c>
      <c r="C139" s="470">
        <f>((108/0.15)*0.6)*0.222</f>
        <v>95.903999999999996</v>
      </c>
      <c r="D139" s="182" t="s">
        <v>3</v>
      </c>
      <c r="E139" s="103"/>
      <c r="F139" s="103"/>
      <c r="G139" s="2"/>
    </row>
    <row r="140" spans="1:7" s="111" customFormat="1">
      <c r="A140" s="199"/>
      <c r="B140" s="364"/>
      <c r="C140" s="470"/>
      <c r="D140" s="182"/>
      <c r="E140" s="103"/>
      <c r="F140" s="103"/>
      <c r="G140" s="2"/>
    </row>
    <row r="141" spans="1:7" s="111" customFormat="1">
      <c r="A141" s="212"/>
      <c r="B141" s="478"/>
      <c r="C141" s="479"/>
      <c r="D141" s="215"/>
      <c r="E141" s="114"/>
      <c r="F141" s="114"/>
      <c r="G141" s="2"/>
    </row>
    <row r="142" spans="1:7" s="111" customFormat="1">
      <c r="A142" s="174" t="s">
        <v>375</v>
      </c>
      <c r="B142" s="384" t="s">
        <v>58</v>
      </c>
      <c r="C142" s="469"/>
      <c r="D142" s="198"/>
      <c r="E142" s="305"/>
      <c r="F142" s="103">
        <v>0</v>
      </c>
      <c r="G142" s="451"/>
    </row>
    <row r="143" spans="1:7" s="105" customFormat="1" ht="36">
      <c r="A143" s="182"/>
      <c r="B143" s="369" t="s">
        <v>72</v>
      </c>
      <c r="C143" s="470"/>
      <c r="D143" s="182"/>
      <c r="E143" s="103"/>
      <c r="F143" s="103">
        <v>0</v>
      </c>
      <c r="G143" s="115"/>
    </row>
    <row r="144" spans="1:7" s="105" customFormat="1">
      <c r="A144" s="182" t="s">
        <v>8</v>
      </c>
      <c r="B144" s="188" t="s">
        <v>339</v>
      </c>
      <c r="C144" s="480">
        <f>(2.9*108)-(0.15*2.9*36)</f>
        <v>297.53999999999996</v>
      </c>
      <c r="D144" s="180" t="s">
        <v>532</v>
      </c>
      <c r="E144" s="103"/>
      <c r="F144" s="103"/>
      <c r="G144" s="104"/>
    </row>
    <row r="145" spans="1:9" s="105" customFormat="1">
      <c r="A145" s="182"/>
      <c r="B145" s="188"/>
      <c r="C145" s="480"/>
      <c r="D145" s="180"/>
      <c r="E145" s="103"/>
      <c r="F145" s="103"/>
      <c r="G145" s="104"/>
    </row>
    <row r="146" spans="1:9" s="105" customFormat="1">
      <c r="A146" s="230"/>
      <c r="B146" s="366"/>
      <c r="C146" s="481"/>
      <c r="D146" s="191"/>
      <c r="E146" s="106"/>
      <c r="F146" s="106"/>
      <c r="G146" s="452"/>
    </row>
    <row r="147" spans="1:9" s="105" customFormat="1">
      <c r="A147" s="202"/>
      <c r="B147" s="368"/>
      <c r="C147" s="482"/>
      <c r="D147" s="195"/>
      <c r="E147" s="109"/>
      <c r="F147" s="109"/>
      <c r="G147" s="453"/>
    </row>
    <row r="148" spans="1:9" s="111" customFormat="1">
      <c r="A148" s="174" t="s">
        <v>376</v>
      </c>
      <c r="B148" s="384" t="s">
        <v>83</v>
      </c>
      <c r="C148" s="469"/>
      <c r="D148" s="198"/>
      <c r="E148" s="305"/>
      <c r="F148" s="103">
        <v>0</v>
      </c>
      <c r="G148" s="2"/>
    </row>
    <row r="149" spans="1:9" s="111" customFormat="1">
      <c r="A149" s="279"/>
      <c r="B149" s="385" t="s">
        <v>87</v>
      </c>
      <c r="C149" s="469"/>
      <c r="D149" s="198"/>
      <c r="E149" s="305"/>
      <c r="F149" s="103"/>
      <c r="G149" s="2"/>
    </row>
    <row r="150" spans="1:9" s="111" customFormat="1" ht="48">
      <c r="A150" s="386"/>
      <c r="B150" s="203" t="s">
        <v>577</v>
      </c>
      <c r="C150" s="483"/>
      <c r="D150" s="386"/>
      <c r="E150" s="116"/>
      <c r="F150" s="116">
        <v>0</v>
      </c>
      <c r="G150" s="104"/>
      <c r="I150" s="105"/>
    </row>
    <row r="151" spans="1:9" s="120" customFormat="1" ht="24">
      <c r="A151" s="199" t="s">
        <v>8</v>
      </c>
      <c r="B151" s="388" t="s">
        <v>168</v>
      </c>
      <c r="C151" s="470">
        <f>(108*3.05*2)+((0.8+0.35)*3.5)+((0.5+0.35)*3.5)</f>
        <v>665.8</v>
      </c>
      <c r="D151" s="180" t="s">
        <v>532</v>
      </c>
      <c r="E151" s="103"/>
      <c r="F151" s="103">
        <v>0</v>
      </c>
      <c r="G151" s="104"/>
      <c r="I151" s="454"/>
    </row>
    <row r="152" spans="1:9" s="111" customFormat="1" ht="24">
      <c r="A152" s="199" t="s">
        <v>10</v>
      </c>
      <c r="B152" s="388" t="s">
        <v>73</v>
      </c>
      <c r="C152" s="470" t="s">
        <v>333</v>
      </c>
      <c r="D152" s="180" t="s">
        <v>7</v>
      </c>
      <c r="E152" s="103"/>
      <c r="F152" s="103">
        <v>0</v>
      </c>
      <c r="G152" s="117"/>
      <c r="I152" s="105"/>
    </row>
    <row r="153" spans="1:9" s="111" customFormat="1" ht="24">
      <c r="A153" s="199" t="s">
        <v>11</v>
      </c>
      <c r="B153" s="388" t="s">
        <v>109</v>
      </c>
      <c r="C153" s="470" t="s">
        <v>333</v>
      </c>
      <c r="D153" s="180" t="s">
        <v>7</v>
      </c>
      <c r="E153" s="103"/>
      <c r="F153" s="103"/>
      <c r="G153" s="2"/>
      <c r="I153" s="105"/>
    </row>
    <row r="154" spans="1:9" s="111" customFormat="1">
      <c r="A154" s="182"/>
      <c r="B154" s="388"/>
      <c r="C154" s="470"/>
      <c r="D154" s="180"/>
      <c r="E154" s="103"/>
      <c r="F154" s="103"/>
      <c r="G154" s="2"/>
      <c r="I154" s="105"/>
    </row>
    <row r="155" spans="1:9" s="111" customFormat="1">
      <c r="A155" s="279"/>
      <c r="B155" s="385" t="s">
        <v>88</v>
      </c>
      <c r="C155" s="469"/>
      <c r="D155" s="198"/>
      <c r="E155" s="305"/>
      <c r="F155" s="103"/>
      <c r="G155" s="2"/>
      <c r="I155" s="105"/>
    </row>
    <row r="156" spans="1:9" s="111" customFormat="1" ht="60">
      <c r="A156" s="182"/>
      <c r="B156" s="203" t="s">
        <v>523</v>
      </c>
      <c r="C156" s="470"/>
      <c r="D156" s="182"/>
      <c r="E156" s="103"/>
      <c r="F156" s="103">
        <v>0</v>
      </c>
      <c r="G156" s="2"/>
    </row>
    <row r="157" spans="1:9" s="111" customFormat="1">
      <c r="A157" s="182" t="s">
        <v>12</v>
      </c>
      <c r="B157" s="389" t="s">
        <v>171</v>
      </c>
      <c r="C157" s="470">
        <v>665.8</v>
      </c>
      <c r="D157" s="182" t="s">
        <v>532</v>
      </c>
      <c r="E157" s="103"/>
      <c r="F157" s="103">
        <v>0</v>
      </c>
      <c r="G157" s="104"/>
    </row>
    <row r="158" spans="1:9" s="111" customFormat="1">
      <c r="A158" s="182"/>
      <c r="B158" s="369"/>
      <c r="C158" s="470"/>
      <c r="D158" s="182"/>
      <c r="E158" s="103"/>
      <c r="F158" s="103"/>
      <c r="G158" s="2"/>
    </row>
    <row r="159" spans="1:9" s="111" customFormat="1">
      <c r="A159" s="174" t="s">
        <v>377</v>
      </c>
      <c r="B159" s="384" t="s">
        <v>43</v>
      </c>
      <c r="C159" s="469"/>
      <c r="D159" s="198"/>
      <c r="E159" s="305"/>
      <c r="F159" s="103">
        <v>0</v>
      </c>
      <c r="G159" s="2"/>
    </row>
    <row r="160" spans="1:9" s="111" customFormat="1" ht="36">
      <c r="A160" s="182"/>
      <c r="B160" s="240" t="s">
        <v>372</v>
      </c>
      <c r="C160" s="470"/>
      <c r="D160" s="182"/>
      <c r="E160" s="103"/>
      <c r="F160" s="103">
        <v>0</v>
      </c>
      <c r="G160" s="2"/>
    </row>
    <row r="161" spans="1:7" s="111" customFormat="1">
      <c r="A161" s="182" t="s">
        <v>8</v>
      </c>
      <c r="B161" s="188" t="s">
        <v>366</v>
      </c>
      <c r="C161" s="470"/>
      <c r="D161" s="182"/>
      <c r="E161" s="103"/>
      <c r="F161" s="103">
        <v>0</v>
      </c>
      <c r="G161" s="2"/>
    </row>
    <row r="162" spans="1:7" s="111" customFormat="1">
      <c r="A162" s="182"/>
      <c r="B162" s="188" t="s">
        <v>343</v>
      </c>
      <c r="C162" s="470"/>
      <c r="D162" s="182"/>
      <c r="E162" s="103"/>
      <c r="F162" s="103"/>
      <c r="G162" s="104"/>
    </row>
    <row r="163" spans="1:7" s="111" customFormat="1">
      <c r="A163" s="182"/>
      <c r="B163" s="187" t="s">
        <v>209</v>
      </c>
      <c r="C163" s="470">
        <v>1</v>
      </c>
      <c r="D163" s="182" t="s">
        <v>6</v>
      </c>
      <c r="E163" s="103"/>
      <c r="F163" s="103"/>
      <c r="G163" s="2"/>
    </row>
    <row r="164" spans="1:7" s="111" customFormat="1">
      <c r="A164" s="182"/>
      <c r="B164" s="188">
        <v>0</v>
      </c>
      <c r="C164" s="470">
        <v>0</v>
      </c>
      <c r="D164" s="182">
        <v>0</v>
      </c>
      <c r="E164" s="103"/>
      <c r="F164" s="103"/>
      <c r="G164" s="2"/>
    </row>
    <row r="165" spans="1:7" s="111" customFormat="1">
      <c r="A165" s="182" t="s">
        <v>9</v>
      </c>
      <c r="B165" s="188" t="s">
        <v>367</v>
      </c>
      <c r="C165" s="470">
        <v>0</v>
      </c>
      <c r="D165" s="182">
        <v>0</v>
      </c>
      <c r="E165" s="103"/>
      <c r="F165" s="103"/>
      <c r="G165" s="2"/>
    </row>
    <row r="166" spans="1:7" s="111" customFormat="1">
      <c r="A166" s="182"/>
      <c r="B166" s="188" t="s">
        <v>344</v>
      </c>
      <c r="C166" s="470">
        <v>0</v>
      </c>
      <c r="D166" s="182">
        <v>0</v>
      </c>
      <c r="E166" s="103"/>
      <c r="F166" s="103"/>
      <c r="G166" s="2"/>
    </row>
    <row r="167" spans="1:7" s="111" customFormat="1">
      <c r="A167" s="182"/>
      <c r="B167" s="187" t="s">
        <v>209</v>
      </c>
      <c r="C167" s="470">
        <v>1</v>
      </c>
      <c r="D167" s="182" t="s">
        <v>6</v>
      </c>
      <c r="E167" s="103"/>
      <c r="F167" s="103"/>
      <c r="G167" s="2"/>
    </row>
    <row r="168" spans="1:7" s="111" customFormat="1" ht="36">
      <c r="A168" s="484"/>
      <c r="B168" s="485" t="s">
        <v>559</v>
      </c>
      <c r="C168" s="486"/>
      <c r="D168" s="355"/>
      <c r="E168" s="455"/>
      <c r="F168" s="455"/>
      <c r="G168" s="4"/>
    </row>
    <row r="169" spans="1:7" s="111" customFormat="1">
      <c r="A169" s="363" t="s">
        <v>10</v>
      </c>
      <c r="B169" s="222" t="s">
        <v>560</v>
      </c>
      <c r="C169" s="486">
        <v>1</v>
      </c>
      <c r="D169" s="355" t="s">
        <v>28</v>
      </c>
      <c r="E169" s="455"/>
      <c r="F169" s="455"/>
      <c r="G169" s="4"/>
    </row>
    <row r="170" spans="1:7" s="111" customFormat="1">
      <c r="A170" s="182"/>
      <c r="B170" s="188"/>
      <c r="C170" s="470"/>
      <c r="D170" s="182"/>
      <c r="E170" s="103"/>
      <c r="F170" s="103"/>
      <c r="G170" s="2"/>
    </row>
    <row r="171" spans="1:7" s="111" customFormat="1">
      <c r="A171" s="174" t="s">
        <v>378</v>
      </c>
      <c r="B171" s="384" t="s">
        <v>74</v>
      </c>
      <c r="C171" s="469"/>
      <c r="D171" s="198"/>
      <c r="E171" s="305"/>
      <c r="F171" s="103"/>
      <c r="G171" s="2"/>
    </row>
    <row r="172" spans="1:7" s="111" customFormat="1" ht="72">
      <c r="A172" s="182"/>
      <c r="B172" s="412" t="s">
        <v>341</v>
      </c>
      <c r="C172" s="470"/>
      <c r="D172" s="182"/>
      <c r="E172" s="306"/>
      <c r="F172" s="103"/>
      <c r="G172" s="2"/>
    </row>
    <row r="173" spans="1:7" s="111" customFormat="1">
      <c r="A173" s="182"/>
      <c r="B173" s="360"/>
      <c r="C173" s="470"/>
      <c r="D173" s="182"/>
      <c r="E173" s="306"/>
      <c r="F173" s="103"/>
      <c r="G173" s="2"/>
    </row>
    <row r="174" spans="1:7" s="111" customFormat="1">
      <c r="A174" s="182"/>
      <c r="B174" s="361" t="s">
        <v>75</v>
      </c>
      <c r="C174" s="470"/>
      <c r="D174" s="182"/>
      <c r="E174" s="306"/>
      <c r="F174" s="103"/>
      <c r="G174" s="121"/>
    </row>
    <row r="175" spans="1:7" s="111" customFormat="1">
      <c r="A175" s="182" t="s">
        <v>8</v>
      </c>
      <c r="B175" s="188" t="s">
        <v>342</v>
      </c>
      <c r="C175" s="470">
        <v>4</v>
      </c>
      <c r="D175" s="182" t="s">
        <v>67</v>
      </c>
      <c r="E175" s="306"/>
      <c r="F175" s="103"/>
      <c r="G175" s="121"/>
    </row>
    <row r="176" spans="1:7" s="111" customFormat="1">
      <c r="A176" s="355" t="s">
        <v>9</v>
      </c>
      <c r="B176" s="222" t="s">
        <v>557</v>
      </c>
      <c r="C176" s="486">
        <v>1</v>
      </c>
      <c r="D176" s="355" t="s">
        <v>67</v>
      </c>
      <c r="E176" s="456"/>
      <c r="F176" s="455"/>
      <c r="G176" s="457"/>
    </row>
    <row r="177" spans="1:7" s="111" customFormat="1">
      <c r="A177" s="487"/>
      <c r="B177" s="413"/>
      <c r="C177" s="488"/>
      <c r="D177" s="489"/>
      <c r="E177" s="6"/>
      <c r="F177" s="6"/>
      <c r="G177" s="457"/>
    </row>
    <row r="178" spans="1:7" s="111" customFormat="1" ht="36">
      <c r="A178" s="487" t="s">
        <v>10</v>
      </c>
      <c r="B178" s="412" t="s">
        <v>558</v>
      </c>
      <c r="C178" s="490">
        <v>1</v>
      </c>
      <c r="D178" s="491" t="s">
        <v>28</v>
      </c>
      <c r="E178" s="6"/>
      <c r="F178" s="6"/>
      <c r="G178" s="457"/>
    </row>
    <row r="179" spans="1:7" s="111" customFormat="1">
      <c r="A179" s="232"/>
      <c r="B179" s="412"/>
      <c r="C179" s="490"/>
      <c r="D179" s="248"/>
      <c r="E179" s="307"/>
      <c r="F179" s="308"/>
      <c r="G179" s="1"/>
    </row>
    <row r="180" spans="1:7" s="94" customFormat="1">
      <c r="A180" s="174" t="s">
        <v>379</v>
      </c>
      <c r="B180" s="384" t="s">
        <v>86</v>
      </c>
      <c r="C180" s="492"/>
      <c r="D180" s="374"/>
      <c r="E180" s="312"/>
      <c r="F180" s="103"/>
      <c r="G180" s="126"/>
    </row>
    <row r="181" spans="1:7" s="94" customFormat="1">
      <c r="A181" s="493"/>
      <c r="B181" s="443"/>
      <c r="C181" s="494"/>
      <c r="D181" s="283"/>
      <c r="E181" s="321"/>
      <c r="F181" s="106"/>
      <c r="G181" s="458"/>
    </row>
    <row r="182" spans="1:7" s="94" customFormat="1">
      <c r="A182" s="138"/>
      <c r="B182" s="351"/>
      <c r="C182" s="289"/>
      <c r="D182" s="290"/>
      <c r="E182" s="80"/>
      <c r="F182" s="87">
        <v>0</v>
      </c>
      <c r="G182" s="333"/>
    </row>
    <row r="183" spans="1:7" s="94" customFormat="1" ht="12" customHeight="1">
      <c r="A183" s="495" t="s">
        <v>599</v>
      </c>
      <c r="B183" s="495"/>
      <c r="C183" s="495"/>
      <c r="D183" s="495"/>
      <c r="E183" s="495"/>
      <c r="F183" s="495"/>
      <c r="G183" s="495"/>
    </row>
    <row r="184" spans="1:7" s="94" customFormat="1">
      <c r="A184" s="495"/>
      <c r="B184" s="495"/>
      <c r="C184" s="495"/>
      <c r="D184" s="495"/>
      <c r="E184" s="495"/>
      <c r="F184" s="495"/>
      <c r="G184" s="495"/>
    </row>
    <row r="185" spans="1:7" s="94" customFormat="1">
      <c r="A185" s="495"/>
      <c r="B185" s="495"/>
      <c r="C185" s="495"/>
      <c r="D185" s="495"/>
      <c r="E185" s="495"/>
      <c r="F185" s="495"/>
      <c r="G185" s="495"/>
    </row>
    <row r="186" spans="1:7" s="94" customFormat="1">
      <c r="A186" s="337" t="s">
        <v>600</v>
      </c>
      <c r="B186" s="143"/>
      <c r="C186" s="289"/>
      <c r="D186" s="290"/>
      <c r="E186" s="290"/>
      <c r="F186" s="496"/>
      <c r="G186" s="297"/>
    </row>
    <row r="187" spans="1:7" s="94" customFormat="1">
      <c r="A187" s="138"/>
      <c r="B187" s="143"/>
      <c r="C187" s="289"/>
      <c r="D187" s="290"/>
      <c r="E187" s="290"/>
      <c r="F187" s="497">
        <v>0</v>
      </c>
      <c r="G187" s="148"/>
    </row>
    <row r="188" spans="1:7" s="94" customFormat="1">
      <c r="A188" s="138"/>
      <c r="B188" s="143"/>
      <c r="C188" s="289"/>
      <c r="D188" s="290"/>
      <c r="E188" s="290"/>
      <c r="F188" s="497">
        <v>0</v>
      </c>
      <c r="G188" s="148"/>
    </row>
    <row r="189" spans="1:7" s="94" customFormat="1">
      <c r="A189" s="138"/>
      <c r="B189" s="144"/>
      <c r="C189" s="294"/>
      <c r="D189" s="139"/>
      <c r="E189" s="290"/>
      <c r="F189" s="497">
        <v>0</v>
      </c>
      <c r="G189" s="138"/>
    </row>
    <row r="190" spans="1:7" s="94" customFormat="1">
      <c r="A190" s="138"/>
      <c r="B190" s="144"/>
      <c r="C190" s="294"/>
      <c r="D190" s="139"/>
      <c r="E190" s="290"/>
      <c r="F190" s="497">
        <v>0</v>
      </c>
      <c r="G190" s="138"/>
    </row>
    <row r="191" spans="1:7" s="94" customFormat="1">
      <c r="A191" s="138"/>
      <c r="B191" s="144"/>
      <c r="C191" s="294"/>
      <c r="D191" s="139"/>
      <c r="E191" s="290"/>
      <c r="F191" s="497">
        <v>0</v>
      </c>
      <c r="G191" s="138"/>
    </row>
    <row r="192" spans="1:7" s="94" customFormat="1">
      <c r="A192" s="138"/>
      <c r="B192" s="144"/>
      <c r="C192" s="294"/>
      <c r="D192" s="139"/>
      <c r="E192" s="290"/>
      <c r="F192" s="497">
        <v>0</v>
      </c>
      <c r="G192" s="144"/>
    </row>
    <row r="193" spans="1:7" s="94" customFormat="1">
      <c r="A193" s="138"/>
      <c r="B193" s="144"/>
      <c r="C193" s="294"/>
      <c r="D193" s="139"/>
      <c r="E193" s="290"/>
      <c r="F193" s="497">
        <v>0</v>
      </c>
      <c r="G193" s="144"/>
    </row>
    <row r="194" spans="1:7" s="94" customFormat="1">
      <c r="A194" s="138"/>
      <c r="B194" s="296"/>
      <c r="C194" s="294"/>
      <c r="D194" s="139"/>
      <c r="E194" s="290"/>
      <c r="F194" s="497">
        <v>0</v>
      </c>
      <c r="G194" s="144"/>
    </row>
    <row r="195" spans="1:7" s="94" customFormat="1">
      <c r="A195" s="138"/>
      <c r="B195" s="351"/>
      <c r="C195" s="296"/>
      <c r="D195" s="148"/>
      <c r="E195" s="498"/>
      <c r="F195" s="497">
        <v>0</v>
      </c>
      <c r="G195" s="144"/>
    </row>
    <row r="196" spans="1:7" s="94" customFormat="1">
      <c r="A196" s="138"/>
      <c r="B196" s="336"/>
      <c r="C196" s="294"/>
      <c r="D196" s="139"/>
      <c r="E196" s="290"/>
      <c r="F196" s="497">
        <v>0</v>
      </c>
      <c r="G196" s="144"/>
    </row>
    <row r="197" spans="1:7" s="94" customFormat="1">
      <c r="A197" s="297"/>
      <c r="B197" s="297"/>
      <c r="C197" s="297"/>
      <c r="D197" s="297"/>
      <c r="E197" s="499"/>
      <c r="F197" s="497">
        <v>0</v>
      </c>
      <c r="G197" s="144"/>
    </row>
    <row r="198" spans="1:7" s="94" customFormat="1">
      <c r="A198" s="297"/>
      <c r="B198" s="297"/>
      <c r="C198" s="297"/>
      <c r="D198" s="297"/>
      <c r="E198" s="499"/>
      <c r="F198" s="497">
        <v>0</v>
      </c>
      <c r="G198" s="498"/>
    </row>
    <row r="199" spans="1:7" s="94" customFormat="1">
      <c r="A199" s="297"/>
      <c r="B199" s="297"/>
      <c r="C199" s="297"/>
      <c r="D199" s="297"/>
      <c r="E199" s="499"/>
      <c r="F199" s="497">
        <v>0</v>
      </c>
      <c r="G199" s="144"/>
    </row>
    <row r="200" spans="1:7" s="94" customFormat="1">
      <c r="A200" s="297"/>
      <c r="B200" s="297"/>
      <c r="C200" s="297"/>
      <c r="D200" s="297"/>
      <c r="E200" s="499"/>
      <c r="F200" s="497">
        <v>0</v>
      </c>
      <c r="G200" s="297"/>
    </row>
    <row r="201" spans="1:7" s="94" customFormat="1">
      <c r="A201" s="297"/>
      <c r="B201" s="297"/>
      <c r="C201" s="297"/>
      <c r="D201" s="297"/>
      <c r="E201" s="499"/>
      <c r="F201" s="497">
        <v>0</v>
      </c>
      <c r="G201" s="297"/>
    </row>
    <row r="202" spans="1:7" s="94" customFormat="1">
      <c r="A202" s="297"/>
      <c r="B202" s="297"/>
      <c r="C202" s="297"/>
      <c r="D202" s="297"/>
      <c r="E202" s="499"/>
      <c r="F202" s="497">
        <v>0</v>
      </c>
      <c r="G202" s="297"/>
    </row>
    <row r="203" spans="1:7" s="94" customFormat="1">
      <c r="A203" s="297"/>
      <c r="B203" s="297"/>
      <c r="C203" s="297"/>
      <c r="D203" s="297"/>
      <c r="E203" s="499"/>
      <c r="F203" s="497">
        <v>0</v>
      </c>
      <c r="G203" s="297"/>
    </row>
    <row r="204" spans="1:7" s="94" customFormat="1">
      <c r="A204" s="297"/>
      <c r="B204" s="297"/>
      <c r="C204" s="297"/>
      <c r="D204" s="297"/>
      <c r="E204" s="499"/>
      <c r="F204" s="497">
        <v>0</v>
      </c>
      <c r="G204" s="297"/>
    </row>
    <row r="205" spans="1:7" s="94" customFormat="1">
      <c r="A205" s="297"/>
      <c r="B205" s="297"/>
      <c r="C205" s="297"/>
      <c r="D205" s="297"/>
      <c r="E205" s="499"/>
      <c r="F205" s="497">
        <v>0</v>
      </c>
      <c r="G205" s="297"/>
    </row>
    <row r="206" spans="1:7" s="94" customFormat="1">
      <c r="A206" s="297"/>
      <c r="B206" s="297"/>
      <c r="C206" s="297"/>
      <c r="D206" s="297"/>
      <c r="E206" s="499"/>
      <c r="F206" s="497">
        <v>0</v>
      </c>
      <c r="G206" s="297"/>
    </row>
    <row r="207" spans="1:7" s="94" customFormat="1">
      <c r="A207" s="297"/>
      <c r="B207" s="297"/>
      <c r="C207" s="297"/>
      <c r="D207" s="297"/>
      <c r="E207" s="499"/>
      <c r="F207" s="497">
        <v>0</v>
      </c>
      <c r="G207" s="297"/>
    </row>
    <row r="208" spans="1:7" s="94" customFormat="1">
      <c r="A208" s="297"/>
      <c r="B208" s="297"/>
      <c r="C208" s="297"/>
      <c r="D208" s="297"/>
      <c r="E208" s="499"/>
      <c r="F208" s="497">
        <v>0</v>
      </c>
      <c r="G208" s="297"/>
    </row>
    <row r="209" spans="1:7" s="94" customFormat="1">
      <c r="A209" s="297"/>
      <c r="B209" s="297"/>
      <c r="C209" s="297"/>
      <c r="D209" s="297"/>
      <c r="E209" s="499"/>
      <c r="F209" s="497">
        <v>0</v>
      </c>
      <c r="G209" s="297"/>
    </row>
    <row r="210" spans="1:7" s="94" customFormat="1">
      <c r="A210" s="297"/>
      <c r="B210" s="297"/>
      <c r="C210" s="297"/>
      <c r="D210" s="297"/>
      <c r="E210" s="499"/>
      <c r="F210" s="497">
        <v>0</v>
      </c>
      <c r="G210" s="297"/>
    </row>
    <row r="211" spans="1:7" s="94" customFormat="1">
      <c r="A211" s="297"/>
      <c r="B211" s="297"/>
      <c r="C211" s="297"/>
      <c r="D211" s="297"/>
      <c r="E211" s="499"/>
      <c r="F211" s="497">
        <v>0</v>
      </c>
      <c r="G211" s="297"/>
    </row>
    <row r="212" spans="1:7" s="94" customFormat="1">
      <c r="A212" s="135"/>
      <c r="B212" s="135"/>
      <c r="C212" s="135"/>
      <c r="D212" s="135"/>
      <c r="E212" s="136"/>
      <c r="F212" s="87">
        <v>0</v>
      </c>
      <c r="G212" s="135"/>
    </row>
    <row r="213" spans="1:7" s="94" customFormat="1">
      <c r="A213" s="135"/>
      <c r="B213" s="135"/>
      <c r="C213" s="135"/>
      <c r="D213" s="135"/>
      <c r="E213" s="136"/>
      <c r="F213" s="87">
        <v>0</v>
      </c>
      <c r="G213" s="135"/>
    </row>
    <row r="214" spans="1:7" s="94" customFormat="1">
      <c r="A214" s="135"/>
      <c r="B214" s="135"/>
      <c r="C214" s="135"/>
      <c r="D214" s="135"/>
      <c r="E214" s="136"/>
      <c r="F214" s="87">
        <v>0</v>
      </c>
      <c r="G214" s="135"/>
    </row>
    <row r="215" spans="1:7" s="94" customFormat="1">
      <c r="A215" s="135"/>
      <c r="B215" s="135"/>
      <c r="C215" s="135"/>
      <c r="D215" s="135"/>
      <c r="E215" s="136"/>
      <c r="F215" s="87">
        <v>0</v>
      </c>
      <c r="G215" s="135"/>
    </row>
    <row r="216" spans="1:7" s="94" customFormat="1">
      <c r="A216" s="135"/>
      <c r="B216" s="135"/>
      <c r="C216" s="135"/>
      <c r="D216" s="135"/>
      <c r="E216" s="136"/>
      <c r="F216" s="87">
        <v>0</v>
      </c>
      <c r="G216" s="135"/>
    </row>
    <row r="217" spans="1:7" s="94" customFormat="1">
      <c r="A217" s="135"/>
      <c r="B217" s="135"/>
      <c r="C217" s="135"/>
      <c r="D217" s="135"/>
      <c r="E217" s="136"/>
      <c r="F217" s="87">
        <v>0</v>
      </c>
      <c r="G217" s="135"/>
    </row>
    <row r="218" spans="1:7" s="94" customFormat="1">
      <c r="A218" s="135"/>
      <c r="B218" s="135"/>
      <c r="C218" s="135"/>
      <c r="D218" s="135"/>
      <c r="E218" s="136"/>
      <c r="F218" s="87">
        <v>0</v>
      </c>
      <c r="G218" s="135"/>
    </row>
    <row r="219" spans="1:7" s="94" customFormat="1">
      <c r="A219" s="135"/>
      <c r="B219" s="135"/>
      <c r="C219" s="135"/>
      <c r="D219" s="135"/>
      <c r="E219" s="136"/>
      <c r="F219" s="87">
        <v>0</v>
      </c>
      <c r="G219" s="135"/>
    </row>
    <row r="220" spans="1:7" s="94" customFormat="1">
      <c r="A220" s="91"/>
      <c r="C220" s="91"/>
      <c r="D220" s="91"/>
      <c r="E220" s="92"/>
      <c r="F220" s="87">
        <v>0</v>
      </c>
      <c r="G220" s="135"/>
    </row>
    <row r="221" spans="1:7" s="94" customFormat="1">
      <c r="A221" s="91"/>
      <c r="C221" s="91"/>
      <c r="D221" s="91"/>
      <c r="E221" s="92"/>
      <c r="F221" s="87">
        <v>0</v>
      </c>
      <c r="G221" s="135"/>
    </row>
    <row r="222" spans="1:7" s="94" customFormat="1">
      <c r="A222" s="91"/>
      <c r="C222" s="91"/>
      <c r="D222" s="91"/>
      <c r="E222" s="92"/>
      <c r="F222" s="87">
        <v>0</v>
      </c>
      <c r="G222" s="135"/>
    </row>
    <row r="223" spans="1:7" s="94" customFormat="1">
      <c r="A223" s="91"/>
      <c r="C223" s="91"/>
      <c r="D223" s="91"/>
      <c r="E223" s="92"/>
      <c r="F223" s="87">
        <v>0</v>
      </c>
    </row>
    <row r="224" spans="1:7" s="94" customFormat="1">
      <c r="A224" s="91"/>
      <c r="C224" s="91"/>
      <c r="D224" s="91"/>
      <c r="E224" s="92"/>
      <c r="F224" s="87">
        <v>0</v>
      </c>
    </row>
    <row r="225" spans="1:6" s="94" customFormat="1">
      <c r="A225" s="91"/>
      <c r="C225" s="91"/>
      <c r="D225" s="91"/>
      <c r="E225" s="92"/>
      <c r="F225" s="87">
        <v>0</v>
      </c>
    </row>
    <row r="226" spans="1:6" s="94" customFormat="1">
      <c r="A226" s="91"/>
      <c r="C226" s="91"/>
      <c r="D226" s="91"/>
      <c r="E226" s="92"/>
      <c r="F226" s="87">
        <v>0</v>
      </c>
    </row>
    <row r="227" spans="1:6" s="94" customFormat="1">
      <c r="A227" s="91"/>
      <c r="C227" s="91"/>
      <c r="D227" s="91"/>
      <c r="E227" s="92"/>
      <c r="F227" s="87">
        <v>0</v>
      </c>
    </row>
    <row r="228" spans="1:6" s="94" customFormat="1">
      <c r="A228" s="91"/>
      <c r="C228" s="91"/>
      <c r="D228" s="91"/>
      <c r="E228" s="92"/>
      <c r="F228" s="87">
        <v>0</v>
      </c>
    </row>
    <row r="229" spans="1:6" s="94" customFormat="1">
      <c r="A229" s="91"/>
      <c r="C229" s="91"/>
      <c r="D229" s="91"/>
      <c r="E229" s="92"/>
      <c r="F229" s="87">
        <v>0</v>
      </c>
    </row>
    <row r="230" spans="1:6" s="94" customFormat="1">
      <c r="A230" s="91"/>
      <c r="C230" s="91"/>
      <c r="D230" s="91"/>
      <c r="E230" s="92"/>
      <c r="F230" s="87">
        <v>0</v>
      </c>
    </row>
    <row r="231" spans="1:6" s="94" customFormat="1">
      <c r="A231" s="91"/>
      <c r="C231" s="91"/>
      <c r="D231" s="91"/>
      <c r="E231" s="92"/>
      <c r="F231" s="87">
        <v>0</v>
      </c>
    </row>
    <row r="232" spans="1:6" s="94" customFormat="1">
      <c r="A232" s="91"/>
      <c r="C232" s="91"/>
      <c r="D232" s="91"/>
      <c r="E232" s="92"/>
      <c r="F232" s="87">
        <v>0</v>
      </c>
    </row>
    <row r="233" spans="1:6" s="94" customFormat="1">
      <c r="A233" s="91"/>
      <c r="C233" s="91"/>
      <c r="D233" s="91"/>
      <c r="E233" s="92"/>
      <c r="F233" s="87">
        <v>0</v>
      </c>
    </row>
    <row r="234" spans="1:6" s="94" customFormat="1">
      <c r="A234" s="91"/>
      <c r="C234" s="91"/>
      <c r="D234" s="91"/>
      <c r="E234" s="92"/>
      <c r="F234" s="87">
        <v>0</v>
      </c>
    </row>
    <row r="235" spans="1:6" s="94" customFormat="1">
      <c r="A235" s="91"/>
      <c r="C235" s="91"/>
      <c r="D235" s="91"/>
      <c r="E235" s="92"/>
      <c r="F235" s="87">
        <v>0</v>
      </c>
    </row>
    <row r="236" spans="1:6" s="94" customFormat="1">
      <c r="A236" s="91"/>
      <c r="C236" s="91"/>
      <c r="D236" s="91"/>
      <c r="E236" s="92"/>
      <c r="F236" s="87">
        <v>0</v>
      </c>
    </row>
    <row r="237" spans="1:6" s="94" customFormat="1">
      <c r="A237" s="91"/>
      <c r="C237" s="91"/>
      <c r="D237" s="91"/>
      <c r="E237" s="92"/>
      <c r="F237" s="87">
        <v>0</v>
      </c>
    </row>
    <row r="238" spans="1:6" s="94" customFormat="1">
      <c r="A238" s="91"/>
      <c r="C238" s="91"/>
      <c r="D238" s="91"/>
      <c r="E238" s="92"/>
      <c r="F238" s="87">
        <v>0</v>
      </c>
    </row>
    <row r="239" spans="1:6" s="94" customFormat="1">
      <c r="A239" s="91"/>
      <c r="C239" s="91"/>
      <c r="D239" s="91"/>
      <c r="E239" s="92"/>
      <c r="F239" s="87">
        <v>0</v>
      </c>
    </row>
    <row r="240" spans="1:6" s="94" customFormat="1">
      <c r="A240" s="91"/>
      <c r="C240" s="91"/>
      <c r="D240" s="91"/>
      <c r="E240" s="92"/>
      <c r="F240" s="87">
        <v>0</v>
      </c>
    </row>
    <row r="241" spans="1:6" s="94" customFormat="1">
      <c r="A241" s="91"/>
      <c r="C241" s="91"/>
      <c r="D241" s="91"/>
      <c r="E241" s="92"/>
      <c r="F241" s="87">
        <v>0</v>
      </c>
    </row>
    <row r="242" spans="1:6" s="94" customFormat="1">
      <c r="A242" s="91"/>
      <c r="C242" s="91"/>
      <c r="D242" s="91"/>
      <c r="E242" s="92"/>
      <c r="F242" s="87">
        <v>0</v>
      </c>
    </row>
    <row r="243" spans="1:6" s="94" customFormat="1">
      <c r="A243" s="91"/>
      <c r="C243" s="91"/>
      <c r="D243" s="91"/>
      <c r="E243" s="92"/>
      <c r="F243" s="87">
        <v>0</v>
      </c>
    </row>
    <row r="244" spans="1:6" s="94" customFormat="1">
      <c r="A244" s="91"/>
      <c r="C244" s="91"/>
      <c r="D244" s="91"/>
      <c r="E244" s="92"/>
      <c r="F244" s="87">
        <v>0</v>
      </c>
    </row>
    <row r="245" spans="1:6" s="94" customFormat="1">
      <c r="A245" s="91"/>
      <c r="C245" s="91"/>
      <c r="D245" s="91"/>
      <c r="E245" s="92"/>
      <c r="F245" s="87">
        <v>0</v>
      </c>
    </row>
    <row r="246" spans="1:6" s="94" customFormat="1">
      <c r="A246" s="91"/>
      <c r="C246" s="91"/>
      <c r="D246" s="91"/>
      <c r="E246" s="92"/>
      <c r="F246" s="87">
        <v>0</v>
      </c>
    </row>
    <row r="247" spans="1:6" s="94" customFormat="1">
      <c r="A247" s="91"/>
      <c r="C247" s="91"/>
      <c r="D247" s="91"/>
      <c r="E247" s="92"/>
      <c r="F247" s="87">
        <v>0</v>
      </c>
    </row>
    <row r="248" spans="1:6" s="94" customFormat="1">
      <c r="A248" s="91"/>
      <c r="C248" s="91"/>
      <c r="D248" s="91"/>
      <c r="E248" s="92"/>
      <c r="F248" s="87">
        <v>0</v>
      </c>
    </row>
    <row r="249" spans="1:6" s="94" customFormat="1">
      <c r="A249" s="91"/>
      <c r="C249" s="91"/>
      <c r="D249" s="91"/>
      <c r="E249" s="92"/>
      <c r="F249" s="87">
        <v>0</v>
      </c>
    </row>
    <row r="250" spans="1:6" s="94" customFormat="1">
      <c r="A250" s="91"/>
      <c r="C250" s="91"/>
      <c r="D250" s="91"/>
      <c r="E250" s="92"/>
      <c r="F250" s="87">
        <v>0</v>
      </c>
    </row>
    <row r="251" spans="1:6" s="94" customFormat="1">
      <c r="A251" s="91"/>
      <c r="C251" s="91"/>
      <c r="D251" s="91"/>
      <c r="E251" s="92"/>
      <c r="F251" s="87">
        <v>0</v>
      </c>
    </row>
    <row r="252" spans="1:6" s="94" customFormat="1">
      <c r="A252" s="91"/>
      <c r="C252" s="91"/>
      <c r="D252" s="91"/>
      <c r="E252" s="92"/>
      <c r="F252" s="87">
        <v>0</v>
      </c>
    </row>
    <row r="253" spans="1:6" s="94" customFormat="1">
      <c r="A253" s="91"/>
      <c r="C253" s="91"/>
      <c r="D253" s="91"/>
      <c r="E253" s="92"/>
      <c r="F253" s="87">
        <v>0</v>
      </c>
    </row>
    <row r="254" spans="1:6" s="94" customFormat="1">
      <c r="A254" s="91"/>
      <c r="C254" s="91"/>
      <c r="D254" s="91"/>
      <c r="E254" s="92"/>
      <c r="F254" s="87">
        <v>0</v>
      </c>
    </row>
    <row r="255" spans="1:6" s="94" customFormat="1">
      <c r="A255" s="91"/>
      <c r="C255" s="91"/>
      <c r="D255" s="91"/>
      <c r="E255" s="92"/>
      <c r="F255" s="87">
        <v>0</v>
      </c>
    </row>
    <row r="256" spans="1:6" s="94" customFormat="1">
      <c r="A256" s="91"/>
      <c r="C256" s="91"/>
      <c r="D256" s="91"/>
      <c r="E256" s="92"/>
      <c r="F256" s="87">
        <v>0</v>
      </c>
    </row>
    <row r="257" spans="1:6" s="94" customFormat="1">
      <c r="A257" s="91"/>
      <c r="C257" s="91"/>
      <c r="D257" s="91"/>
      <c r="E257" s="92"/>
      <c r="F257" s="87">
        <v>0</v>
      </c>
    </row>
    <row r="258" spans="1:6" s="94" customFormat="1">
      <c r="A258" s="91"/>
      <c r="C258" s="91"/>
      <c r="D258" s="91"/>
      <c r="E258" s="92"/>
      <c r="F258" s="87">
        <v>0</v>
      </c>
    </row>
    <row r="259" spans="1:6" s="94" customFormat="1">
      <c r="A259" s="91"/>
      <c r="C259" s="91"/>
      <c r="D259" s="91"/>
      <c r="E259" s="92"/>
      <c r="F259" s="87">
        <v>0</v>
      </c>
    </row>
    <row r="260" spans="1:6" s="94" customFormat="1">
      <c r="A260" s="91"/>
      <c r="C260" s="91"/>
      <c r="D260" s="91"/>
      <c r="E260" s="92"/>
      <c r="F260" s="87">
        <v>0</v>
      </c>
    </row>
    <row r="261" spans="1:6" s="94" customFormat="1">
      <c r="A261" s="91"/>
      <c r="C261" s="91"/>
      <c r="D261" s="91"/>
      <c r="E261" s="92"/>
      <c r="F261" s="87">
        <v>0</v>
      </c>
    </row>
    <row r="262" spans="1:6" s="94" customFormat="1">
      <c r="A262" s="91"/>
      <c r="C262" s="91"/>
      <c r="D262" s="91"/>
      <c r="E262" s="92"/>
      <c r="F262" s="87">
        <v>0</v>
      </c>
    </row>
    <row r="263" spans="1:6" s="94" customFormat="1">
      <c r="A263" s="91"/>
      <c r="C263" s="91"/>
      <c r="D263" s="91"/>
      <c r="E263" s="92"/>
      <c r="F263" s="87">
        <v>0</v>
      </c>
    </row>
    <row r="264" spans="1:6" s="94" customFormat="1">
      <c r="A264" s="91"/>
      <c r="C264" s="91"/>
      <c r="D264" s="91"/>
      <c r="E264" s="92"/>
      <c r="F264" s="87">
        <v>0</v>
      </c>
    </row>
    <row r="265" spans="1:6" s="94" customFormat="1">
      <c r="A265" s="91"/>
      <c r="C265" s="91"/>
      <c r="D265" s="91"/>
      <c r="E265" s="92"/>
      <c r="F265" s="87">
        <v>0</v>
      </c>
    </row>
    <row r="266" spans="1:6" s="94" customFormat="1">
      <c r="A266" s="91"/>
      <c r="C266" s="91"/>
      <c r="D266" s="91"/>
      <c r="E266" s="92"/>
      <c r="F266" s="87">
        <v>0</v>
      </c>
    </row>
    <row r="267" spans="1:6" s="94" customFormat="1">
      <c r="A267" s="91"/>
      <c r="C267" s="91"/>
      <c r="D267" s="91"/>
      <c r="E267" s="92"/>
      <c r="F267" s="87">
        <v>0</v>
      </c>
    </row>
    <row r="268" spans="1:6" s="94" customFormat="1">
      <c r="A268" s="91"/>
      <c r="C268" s="91"/>
      <c r="D268" s="91"/>
      <c r="E268" s="92"/>
      <c r="F268" s="87">
        <v>0</v>
      </c>
    </row>
    <row r="269" spans="1:6" s="94" customFormat="1">
      <c r="A269" s="91"/>
      <c r="C269" s="91"/>
      <c r="D269" s="91"/>
      <c r="E269" s="92"/>
      <c r="F269" s="87">
        <v>0</v>
      </c>
    </row>
    <row r="270" spans="1:6" s="94" customFormat="1">
      <c r="A270" s="91"/>
      <c r="C270" s="91"/>
      <c r="D270" s="91"/>
      <c r="E270" s="92"/>
      <c r="F270" s="87">
        <v>0</v>
      </c>
    </row>
    <row r="271" spans="1:6" s="94" customFormat="1">
      <c r="A271" s="91"/>
      <c r="C271" s="91"/>
      <c r="D271" s="91"/>
      <c r="E271" s="92"/>
      <c r="F271" s="87">
        <v>0</v>
      </c>
    </row>
    <row r="272" spans="1:6" s="94" customFormat="1">
      <c r="A272" s="91"/>
      <c r="C272" s="91"/>
      <c r="D272" s="91"/>
      <c r="E272" s="92"/>
      <c r="F272" s="87">
        <v>0</v>
      </c>
    </row>
    <row r="273" spans="1:6" s="94" customFormat="1">
      <c r="A273" s="91"/>
      <c r="C273" s="91"/>
      <c r="D273" s="91"/>
      <c r="E273" s="92"/>
      <c r="F273" s="87">
        <v>0</v>
      </c>
    </row>
    <row r="274" spans="1:6" s="94" customFormat="1">
      <c r="A274" s="91"/>
      <c r="C274" s="91"/>
      <c r="D274" s="91"/>
      <c r="E274" s="92"/>
      <c r="F274" s="87">
        <v>0</v>
      </c>
    </row>
    <row r="275" spans="1:6" s="94" customFormat="1">
      <c r="A275" s="91"/>
      <c r="C275" s="91"/>
      <c r="D275" s="91"/>
      <c r="E275" s="92"/>
      <c r="F275" s="87">
        <v>0</v>
      </c>
    </row>
    <row r="276" spans="1:6" s="94" customFormat="1">
      <c r="A276" s="91"/>
      <c r="C276" s="91"/>
      <c r="D276" s="91"/>
      <c r="E276" s="92"/>
      <c r="F276" s="87">
        <v>0</v>
      </c>
    </row>
    <row r="277" spans="1:6" s="94" customFormat="1">
      <c r="A277" s="91"/>
      <c r="C277" s="91"/>
      <c r="D277" s="91"/>
      <c r="E277" s="92"/>
      <c r="F277" s="87">
        <v>0</v>
      </c>
    </row>
    <row r="278" spans="1:6" s="94" customFormat="1">
      <c r="A278" s="91"/>
      <c r="C278" s="91"/>
      <c r="D278" s="91"/>
      <c r="E278" s="92"/>
      <c r="F278" s="87">
        <v>0</v>
      </c>
    </row>
    <row r="279" spans="1:6" s="94" customFormat="1">
      <c r="A279" s="91"/>
      <c r="C279" s="91"/>
      <c r="D279" s="91"/>
      <c r="E279" s="92"/>
      <c r="F279" s="87">
        <v>0</v>
      </c>
    </row>
    <row r="280" spans="1:6" s="94" customFormat="1">
      <c r="A280" s="91"/>
      <c r="C280" s="91"/>
      <c r="D280" s="91"/>
      <c r="E280" s="92"/>
      <c r="F280" s="87">
        <v>0</v>
      </c>
    </row>
    <row r="281" spans="1:6" s="94" customFormat="1">
      <c r="A281" s="91"/>
      <c r="C281" s="91"/>
      <c r="D281" s="91"/>
      <c r="E281" s="92"/>
      <c r="F281" s="87">
        <v>0</v>
      </c>
    </row>
    <row r="282" spans="1:6" s="94" customFormat="1">
      <c r="A282" s="91"/>
      <c r="C282" s="91"/>
      <c r="D282" s="91"/>
      <c r="E282" s="92"/>
      <c r="F282" s="87">
        <v>0</v>
      </c>
    </row>
    <row r="283" spans="1:6" s="94" customFormat="1">
      <c r="A283" s="91"/>
      <c r="C283" s="91"/>
      <c r="D283" s="91"/>
      <c r="E283" s="92"/>
      <c r="F283" s="87">
        <v>0</v>
      </c>
    </row>
    <row r="284" spans="1:6" s="94" customFormat="1">
      <c r="A284" s="91"/>
      <c r="C284" s="91"/>
      <c r="D284" s="91"/>
      <c r="E284" s="92"/>
      <c r="F284" s="87">
        <v>0</v>
      </c>
    </row>
    <row r="285" spans="1:6" s="94" customFormat="1">
      <c r="A285" s="91"/>
      <c r="C285" s="91"/>
      <c r="D285" s="91"/>
      <c r="E285" s="92"/>
      <c r="F285" s="87">
        <v>0</v>
      </c>
    </row>
    <row r="286" spans="1:6" s="94" customFormat="1">
      <c r="A286" s="91"/>
      <c r="C286" s="91"/>
      <c r="D286" s="91"/>
      <c r="E286" s="92"/>
      <c r="F286" s="87">
        <v>0</v>
      </c>
    </row>
    <row r="287" spans="1:6" s="94" customFormat="1">
      <c r="A287" s="91"/>
      <c r="C287" s="91"/>
      <c r="D287" s="91"/>
      <c r="E287" s="92"/>
      <c r="F287" s="87">
        <v>0</v>
      </c>
    </row>
    <row r="288" spans="1:6" s="94" customFormat="1">
      <c r="A288" s="91"/>
      <c r="C288" s="91"/>
      <c r="D288" s="91"/>
      <c r="E288" s="92"/>
      <c r="F288" s="87">
        <v>0</v>
      </c>
    </row>
    <row r="289" spans="1:9" s="94" customFormat="1">
      <c r="A289" s="91"/>
      <c r="C289" s="91"/>
      <c r="D289" s="91"/>
      <c r="E289" s="92"/>
      <c r="F289" s="87">
        <v>0</v>
      </c>
    </row>
    <row r="290" spans="1:9" s="94" customFormat="1">
      <c r="A290" s="91"/>
      <c r="C290" s="91"/>
      <c r="D290" s="91"/>
      <c r="E290" s="92"/>
      <c r="F290" s="87">
        <v>0</v>
      </c>
    </row>
    <row r="291" spans="1:9" s="94" customFormat="1">
      <c r="A291" s="91"/>
      <c r="C291" s="91"/>
      <c r="D291" s="91"/>
      <c r="E291" s="92"/>
      <c r="F291" s="87">
        <v>0</v>
      </c>
    </row>
    <row r="292" spans="1:9" s="94" customFormat="1">
      <c r="A292" s="91"/>
      <c r="C292" s="91"/>
      <c r="D292" s="91"/>
      <c r="E292" s="92"/>
      <c r="F292" s="87">
        <v>0</v>
      </c>
    </row>
    <row r="293" spans="1:9" s="94" customFormat="1">
      <c r="A293" s="91"/>
      <c r="C293" s="91"/>
      <c r="D293" s="91"/>
      <c r="E293" s="92"/>
      <c r="F293" s="87">
        <v>0</v>
      </c>
    </row>
    <row r="294" spans="1:9" s="94" customFormat="1">
      <c r="A294" s="91"/>
      <c r="C294" s="91"/>
      <c r="D294" s="91"/>
      <c r="E294" s="92"/>
      <c r="F294" s="87">
        <v>0</v>
      </c>
    </row>
    <row r="295" spans="1:9" s="94" customFormat="1">
      <c r="A295" s="91"/>
      <c r="C295" s="91"/>
      <c r="D295" s="91"/>
      <c r="E295" s="92"/>
      <c r="F295" s="87">
        <v>0</v>
      </c>
    </row>
    <row r="296" spans="1:9" s="94" customFormat="1">
      <c r="A296" s="91"/>
      <c r="C296" s="91"/>
      <c r="D296" s="91"/>
      <c r="E296" s="92"/>
      <c r="F296" s="87">
        <v>0</v>
      </c>
      <c r="H296" s="88"/>
      <c r="I296" s="88"/>
    </row>
    <row r="297" spans="1:9" s="94" customFormat="1">
      <c r="A297" s="91"/>
      <c r="C297" s="91"/>
      <c r="D297" s="91"/>
      <c r="E297" s="92"/>
      <c r="F297" s="87">
        <v>0</v>
      </c>
      <c r="H297" s="88"/>
      <c r="I297" s="88"/>
    </row>
    <row r="298" spans="1:9" s="94" customFormat="1">
      <c r="A298" s="91"/>
      <c r="C298" s="91"/>
      <c r="D298" s="91"/>
      <c r="E298" s="92"/>
      <c r="F298" s="87">
        <v>0</v>
      </c>
      <c r="H298" s="88"/>
      <c r="I298" s="88"/>
    </row>
    <row r="299" spans="1:9">
      <c r="A299" s="91"/>
      <c r="B299" s="94"/>
      <c r="C299" s="91"/>
      <c r="D299" s="91"/>
      <c r="E299" s="92"/>
      <c r="F299" s="87">
        <v>0</v>
      </c>
      <c r="G299" s="94"/>
    </row>
    <row r="300" spans="1:9">
      <c r="A300" s="91"/>
      <c r="B300" s="94"/>
      <c r="C300" s="91"/>
      <c r="D300" s="91"/>
      <c r="E300" s="92"/>
      <c r="F300" s="87">
        <v>0</v>
      </c>
      <c r="G300" s="94"/>
    </row>
    <row r="301" spans="1:9">
      <c r="A301" s="91"/>
      <c r="B301" s="94"/>
      <c r="C301" s="91"/>
      <c r="D301" s="91"/>
      <c r="E301" s="92"/>
      <c r="F301" s="87">
        <v>0</v>
      </c>
      <c r="G301" s="94"/>
    </row>
    <row r="302" spans="1:9">
      <c r="A302" s="91"/>
      <c r="B302" s="94"/>
      <c r="C302" s="91"/>
      <c r="D302" s="91"/>
      <c r="E302" s="92"/>
      <c r="F302" s="87">
        <v>0</v>
      </c>
      <c r="G302" s="94"/>
    </row>
    <row r="303" spans="1:9">
      <c r="A303" s="91"/>
      <c r="B303" s="94"/>
      <c r="C303" s="91"/>
      <c r="D303" s="91"/>
      <c r="E303" s="92"/>
      <c r="F303" s="87">
        <v>0</v>
      </c>
      <c r="G303" s="94"/>
    </row>
    <row r="304" spans="1:9">
      <c r="A304" s="91"/>
      <c r="B304" s="94"/>
      <c r="C304" s="91"/>
      <c r="D304" s="91"/>
      <c r="E304" s="92"/>
      <c r="F304" s="87">
        <v>0</v>
      </c>
      <c r="G304" s="94"/>
    </row>
    <row r="305" spans="1:7">
      <c r="A305" s="91"/>
      <c r="B305" s="94"/>
      <c r="C305" s="91"/>
      <c r="D305" s="91"/>
      <c r="E305" s="92"/>
      <c r="F305" s="87">
        <v>0</v>
      </c>
      <c r="G305" s="94"/>
    </row>
    <row r="306" spans="1:7">
      <c r="A306" s="91"/>
      <c r="B306" s="94"/>
      <c r="C306" s="91"/>
      <c r="D306" s="91"/>
      <c r="E306" s="92"/>
      <c r="F306" s="87">
        <v>0</v>
      </c>
      <c r="G306" s="94"/>
    </row>
    <row r="307" spans="1:7">
      <c r="A307" s="91"/>
      <c r="B307" s="94"/>
      <c r="C307" s="91"/>
      <c r="D307" s="91"/>
      <c r="E307" s="92"/>
      <c r="F307" s="87">
        <v>0</v>
      </c>
      <c r="G307" s="94"/>
    </row>
    <row r="308" spans="1:7">
      <c r="A308" s="91"/>
      <c r="B308" s="94"/>
      <c r="C308" s="91"/>
      <c r="D308" s="91"/>
      <c r="E308" s="92"/>
      <c r="F308" s="87">
        <v>0</v>
      </c>
      <c r="G308" s="94"/>
    </row>
    <row r="309" spans="1:7">
      <c r="A309" s="91"/>
      <c r="B309" s="94"/>
      <c r="C309" s="91"/>
      <c r="D309" s="91"/>
      <c r="E309" s="92"/>
      <c r="F309" s="87">
        <v>0</v>
      </c>
      <c r="G309" s="94"/>
    </row>
    <row r="310" spans="1:7">
      <c r="A310" s="91"/>
      <c r="B310" s="94"/>
      <c r="C310" s="91"/>
      <c r="D310" s="91"/>
      <c r="E310" s="92"/>
      <c r="F310" s="87">
        <v>0</v>
      </c>
      <c r="G310" s="94"/>
    </row>
    <row r="311" spans="1:7">
      <c r="A311" s="91"/>
      <c r="B311" s="94"/>
      <c r="C311" s="91"/>
      <c r="D311" s="91"/>
      <c r="E311" s="92"/>
      <c r="F311" s="87">
        <v>0</v>
      </c>
      <c r="G311" s="94"/>
    </row>
    <row r="312" spans="1:7">
      <c r="A312" s="91"/>
      <c r="B312" s="94"/>
      <c r="C312" s="91"/>
      <c r="D312" s="91"/>
      <c r="E312" s="92"/>
      <c r="F312" s="87">
        <v>0</v>
      </c>
      <c r="G312" s="94"/>
    </row>
    <row r="313" spans="1:7">
      <c r="A313" s="91"/>
      <c r="B313" s="94"/>
      <c r="C313" s="91"/>
      <c r="D313" s="91"/>
      <c r="E313" s="92"/>
      <c r="F313" s="87">
        <v>0</v>
      </c>
      <c r="G313" s="94"/>
    </row>
    <row r="314" spans="1:7">
      <c r="A314" s="91"/>
      <c r="B314" s="94"/>
      <c r="C314" s="91"/>
      <c r="D314" s="91"/>
      <c r="E314" s="92"/>
      <c r="F314" s="87">
        <v>0</v>
      </c>
      <c r="G314" s="94"/>
    </row>
    <row r="315" spans="1:7">
      <c r="A315" s="91"/>
      <c r="B315" s="94"/>
      <c r="C315" s="91"/>
      <c r="D315" s="91"/>
      <c r="E315" s="92"/>
      <c r="F315" s="87">
        <v>0</v>
      </c>
      <c r="G315" s="94"/>
    </row>
    <row r="316" spans="1:7">
      <c r="A316" s="91"/>
      <c r="B316" s="94"/>
      <c r="C316" s="91"/>
      <c r="D316" s="91"/>
      <c r="E316" s="92"/>
      <c r="F316" s="87">
        <v>0</v>
      </c>
      <c r="G316" s="94"/>
    </row>
    <row r="317" spans="1:7">
      <c r="A317" s="91"/>
      <c r="B317" s="94"/>
      <c r="C317" s="91"/>
      <c r="D317" s="91"/>
      <c r="E317" s="92"/>
      <c r="F317" s="87">
        <v>0</v>
      </c>
      <c r="G317" s="94"/>
    </row>
    <row r="318" spans="1:7">
      <c r="A318" s="91"/>
      <c r="B318" s="94"/>
      <c r="C318" s="91"/>
      <c r="D318" s="91"/>
      <c r="E318" s="92"/>
      <c r="F318" s="87">
        <v>0</v>
      </c>
      <c r="G318" s="94"/>
    </row>
    <row r="319" spans="1:7">
      <c r="A319" s="91"/>
      <c r="B319" s="94"/>
      <c r="C319" s="91"/>
      <c r="D319" s="91"/>
      <c r="E319" s="92"/>
      <c r="F319" s="87">
        <v>0</v>
      </c>
      <c r="G319" s="94"/>
    </row>
    <row r="320" spans="1:7">
      <c r="A320" s="91"/>
      <c r="B320" s="94"/>
      <c r="C320" s="91"/>
      <c r="D320" s="91"/>
      <c r="E320" s="92"/>
      <c r="F320" s="87">
        <v>0</v>
      </c>
      <c r="G320" s="94"/>
    </row>
    <row r="321" spans="1:7">
      <c r="A321" s="91"/>
      <c r="B321" s="94"/>
      <c r="C321" s="91"/>
      <c r="D321" s="91"/>
      <c r="E321" s="92"/>
      <c r="F321" s="87">
        <v>0</v>
      </c>
      <c r="G321" s="94"/>
    </row>
    <row r="322" spans="1:7">
      <c r="A322" s="91"/>
      <c r="B322" s="94"/>
      <c r="C322" s="91"/>
      <c r="D322" s="91"/>
      <c r="E322" s="92"/>
      <c r="F322" s="87">
        <v>0</v>
      </c>
      <c r="G322" s="94"/>
    </row>
    <row r="323" spans="1:7">
      <c r="A323" s="91"/>
      <c r="B323" s="94"/>
      <c r="C323" s="91"/>
      <c r="D323" s="91"/>
      <c r="E323" s="92"/>
      <c r="F323" s="87">
        <v>0</v>
      </c>
      <c r="G323" s="94"/>
    </row>
    <row r="324" spans="1:7">
      <c r="A324" s="91"/>
      <c r="B324" s="94"/>
      <c r="C324" s="91"/>
      <c r="D324" s="91"/>
      <c r="E324" s="92"/>
      <c r="F324" s="87">
        <v>0</v>
      </c>
      <c r="G324" s="94"/>
    </row>
    <row r="325" spans="1:7">
      <c r="A325" s="91"/>
      <c r="B325" s="94"/>
      <c r="C325" s="91"/>
      <c r="D325" s="91"/>
      <c r="E325" s="92"/>
      <c r="F325" s="87">
        <v>0</v>
      </c>
      <c r="G325" s="94"/>
    </row>
    <row r="326" spans="1:7">
      <c r="A326" s="91"/>
      <c r="B326" s="94"/>
      <c r="C326" s="91"/>
      <c r="D326" s="91"/>
      <c r="E326" s="92"/>
      <c r="F326" s="87">
        <v>0</v>
      </c>
      <c r="G326" s="94"/>
    </row>
    <row r="327" spans="1:7">
      <c r="F327" s="87">
        <v>0</v>
      </c>
      <c r="G327" s="94"/>
    </row>
    <row r="328" spans="1:7">
      <c r="F328" s="87">
        <v>0</v>
      </c>
      <c r="G328" s="94"/>
    </row>
    <row r="329" spans="1:7">
      <c r="F329" s="87">
        <v>0</v>
      </c>
      <c r="G329" s="94"/>
    </row>
    <row r="330" spans="1:7">
      <c r="F330" s="87">
        <v>0</v>
      </c>
    </row>
    <row r="331" spans="1:7">
      <c r="F331" s="87">
        <v>0</v>
      </c>
    </row>
    <row r="332" spans="1:7">
      <c r="F332" s="87">
        <v>0</v>
      </c>
    </row>
    <row r="333" spans="1:7">
      <c r="F333" s="87">
        <v>0</v>
      </c>
    </row>
    <row r="334" spans="1:7">
      <c r="F334" s="87">
        <v>0</v>
      </c>
    </row>
    <row r="335" spans="1:7">
      <c r="F335" s="87">
        <v>0</v>
      </c>
    </row>
    <row r="336" spans="1:7">
      <c r="F336" s="87">
        <v>0</v>
      </c>
    </row>
    <row r="337" spans="6:6">
      <c r="F337" s="87">
        <v>0</v>
      </c>
    </row>
    <row r="338" spans="6:6">
      <c r="F338" s="87">
        <v>0</v>
      </c>
    </row>
    <row r="339" spans="6:6">
      <c r="F339" s="87">
        <v>0</v>
      </c>
    </row>
    <row r="340" spans="6:6">
      <c r="F340" s="87">
        <v>0</v>
      </c>
    </row>
    <row r="341" spans="6:6">
      <c r="F341" s="87">
        <v>0</v>
      </c>
    </row>
    <row r="342" spans="6:6">
      <c r="F342" s="87">
        <v>0</v>
      </c>
    </row>
    <row r="343" spans="6:6">
      <c r="F343" s="87">
        <v>0</v>
      </c>
    </row>
    <row r="344" spans="6:6">
      <c r="F344" s="87">
        <v>0</v>
      </c>
    </row>
    <row r="345" spans="6:6">
      <c r="F345" s="87">
        <v>0</v>
      </c>
    </row>
    <row r="346" spans="6:6">
      <c r="F346" s="87">
        <v>0</v>
      </c>
    </row>
    <row r="347" spans="6:6">
      <c r="F347" s="87">
        <v>0</v>
      </c>
    </row>
    <row r="348" spans="6:6">
      <c r="F348" s="87">
        <v>0</v>
      </c>
    </row>
    <row r="349" spans="6:6">
      <c r="F349" s="87">
        <v>0</v>
      </c>
    </row>
    <row r="350" spans="6:6">
      <c r="F350" s="87">
        <v>0</v>
      </c>
    </row>
    <row r="351" spans="6:6">
      <c r="F351" s="87">
        <v>0</v>
      </c>
    </row>
    <row r="352" spans="6:6">
      <c r="F352" s="87">
        <v>0</v>
      </c>
    </row>
    <row r="353" spans="6:6">
      <c r="F353" s="87">
        <v>0</v>
      </c>
    </row>
    <row r="354" spans="6:6">
      <c r="F354" s="87">
        <v>0</v>
      </c>
    </row>
    <row r="355" spans="6:6">
      <c r="F355" s="87">
        <v>0</v>
      </c>
    </row>
    <row r="356" spans="6:6">
      <c r="F356" s="87">
        <v>0</v>
      </c>
    </row>
    <row r="357" spans="6:6">
      <c r="F357" s="87">
        <v>0</v>
      </c>
    </row>
    <row r="358" spans="6:6">
      <c r="F358" s="87">
        <v>0</v>
      </c>
    </row>
    <row r="359" spans="6:6">
      <c r="F359" s="87">
        <v>0</v>
      </c>
    </row>
    <row r="360" spans="6:6">
      <c r="F360" s="87">
        <v>0</v>
      </c>
    </row>
    <row r="361" spans="6:6">
      <c r="F361" s="87">
        <v>0</v>
      </c>
    </row>
    <row r="362" spans="6:6">
      <c r="F362" s="87">
        <v>0</v>
      </c>
    </row>
    <row r="363" spans="6:6">
      <c r="F363" s="87">
        <v>0</v>
      </c>
    </row>
    <row r="364" spans="6:6">
      <c r="F364" s="87">
        <v>0</v>
      </c>
    </row>
    <row r="365" spans="6:6">
      <c r="F365" s="87">
        <v>0</v>
      </c>
    </row>
    <row r="366" spans="6:6">
      <c r="F366" s="87">
        <v>0</v>
      </c>
    </row>
    <row r="367" spans="6:6">
      <c r="F367" s="87">
        <v>0</v>
      </c>
    </row>
    <row r="368" spans="6:6">
      <c r="F368" s="87">
        <v>0</v>
      </c>
    </row>
    <row r="369" spans="6:6">
      <c r="F369" s="87">
        <v>0</v>
      </c>
    </row>
    <row r="370" spans="6:6">
      <c r="F370" s="87">
        <v>0</v>
      </c>
    </row>
    <row r="371" spans="6:6">
      <c r="F371" s="87">
        <v>0</v>
      </c>
    </row>
    <row r="372" spans="6:6">
      <c r="F372" s="87">
        <v>0</v>
      </c>
    </row>
    <row r="373" spans="6:6">
      <c r="F373" s="87">
        <v>0</v>
      </c>
    </row>
    <row r="374" spans="6:6">
      <c r="F374" s="87">
        <v>0</v>
      </c>
    </row>
    <row r="375" spans="6:6">
      <c r="F375" s="87">
        <v>0</v>
      </c>
    </row>
    <row r="376" spans="6:6">
      <c r="F376" s="87">
        <v>0</v>
      </c>
    </row>
    <row r="377" spans="6:6">
      <c r="F377" s="87">
        <v>0</v>
      </c>
    </row>
    <row r="378" spans="6:6">
      <c r="F378" s="87">
        <v>0</v>
      </c>
    </row>
    <row r="379" spans="6:6">
      <c r="F379" s="87">
        <v>0</v>
      </c>
    </row>
    <row r="380" spans="6:6">
      <c r="F380" s="87">
        <v>0</v>
      </c>
    </row>
    <row r="381" spans="6:6">
      <c r="F381" s="87">
        <v>0</v>
      </c>
    </row>
    <row r="382" spans="6:6">
      <c r="F382" s="87">
        <v>0</v>
      </c>
    </row>
    <row r="383" spans="6:6">
      <c r="F383" s="87">
        <v>0</v>
      </c>
    </row>
    <row r="384" spans="6:6">
      <c r="F384" s="87">
        <v>0</v>
      </c>
    </row>
    <row r="385" spans="6:6">
      <c r="F385" s="87">
        <v>0</v>
      </c>
    </row>
    <row r="386" spans="6:6">
      <c r="F386" s="87">
        <v>0</v>
      </c>
    </row>
    <row r="387" spans="6:6">
      <c r="F387" s="87">
        <v>0</v>
      </c>
    </row>
    <row r="388" spans="6:6">
      <c r="F388" s="87">
        <v>0</v>
      </c>
    </row>
    <row r="389" spans="6:6">
      <c r="F389" s="87">
        <v>0</v>
      </c>
    </row>
    <row r="390" spans="6:6">
      <c r="F390" s="87">
        <v>0</v>
      </c>
    </row>
    <row r="391" spans="6:6">
      <c r="F391" s="87">
        <v>0</v>
      </c>
    </row>
    <row r="392" spans="6:6">
      <c r="F392" s="87">
        <v>0</v>
      </c>
    </row>
    <row r="393" spans="6:6">
      <c r="F393" s="87">
        <v>0</v>
      </c>
    </row>
    <row r="394" spans="6:6">
      <c r="F394" s="87">
        <v>0</v>
      </c>
    </row>
    <row r="395" spans="6:6">
      <c r="F395" s="87">
        <v>0</v>
      </c>
    </row>
    <row r="396" spans="6:6">
      <c r="F396" s="87">
        <v>0</v>
      </c>
    </row>
    <row r="397" spans="6:6">
      <c r="F397" s="87">
        <v>0</v>
      </c>
    </row>
    <row r="398" spans="6:6">
      <c r="F398" s="87">
        <v>0</v>
      </c>
    </row>
    <row r="399" spans="6:6">
      <c r="F399" s="87">
        <v>0</v>
      </c>
    </row>
    <row r="400" spans="6:6">
      <c r="F400" s="87">
        <v>0</v>
      </c>
    </row>
    <row r="401" spans="6:6">
      <c r="F401" s="87">
        <v>0</v>
      </c>
    </row>
    <row r="402" spans="6:6">
      <c r="F402" s="87">
        <v>0</v>
      </c>
    </row>
    <row r="403" spans="6:6">
      <c r="F403" s="87">
        <v>0</v>
      </c>
    </row>
    <row r="404" spans="6:6">
      <c r="F404" s="87">
        <v>0</v>
      </c>
    </row>
    <row r="405" spans="6:6">
      <c r="F405" s="87">
        <v>0</v>
      </c>
    </row>
    <row r="406" spans="6:6">
      <c r="F406" s="87">
        <v>0</v>
      </c>
    </row>
    <row r="407" spans="6:6">
      <c r="F407" s="87">
        <v>0</v>
      </c>
    </row>
    <row r="408" spans="6:6">
      <c r="F408" s="87">
        <v>0</v>
      </c>
    </row>
    <row r="409" spans="6:6">
      <c r="F409" s="87">
        <v>0</v>
      </c>
    </row>
    <row r="410" spans="6:6">
      <c r="F410" s="87">
        <v>0</v>
      </c>
    </row>
    <row r="411" spans="6:6">
      <c r="F411" s="87">
        <v>0</v>
      </c>
    </row>
    <row r="412" spans="6:6">
      <c r="F412" s="87">
        <v>0</v>
      </c>
    </row>
    <row r="413" spans="6:6">
      <c r="F413" s="87">
        <v>0</v>
      </c>
    </row>
    <row r="414" spans="6:6">
      <c r="F414" s="87">
        <v>0</v>
      </c>
    </row>
    <row r="415" spans="6:6">
      <c r="F415" s="87">
        <v>0</v>
      </c>
    </row>
    <row r="416" spans="6:6">
      <c r="F416" s="87">
        <v>0</v>
      </c>
    </row>
    <row r="417" spans="6:6">
      <c r="F417" s="87">
        <v>0</v>
      </c>
    </row>
    <row r="418" spans="6:6">
      <c r="F418" s="87">
        <v>0</v>
      </c>
    </row>
    <row r="419" spans="6:6">
      <c r="F419" s="87">
        <v>0</v>
      </c>
    </row>
    <row r="420" spans="6:6">
      <c r="F420" s="87">
        <v>0</v>
      </c>
    </row>
    <row r="421" spans="6:6">
      <c r="F421" s="87">
        <v>0</v>
      </c>
    </row>
    <row r="422" spans="6:6">
      <c r="F422" s="87">
        <v>0</v>
      </c>
    </row>
    <row r="423" spans="6:6">
      <c r="F423" s="87">
        <v>0</v>
      </c>
    </row>
    <row r="424" spans="6:6">
      <c r="F424" s="87">
        <v>0</v>
      </c>
    </row>
    <row r="425" spans="6:6">
      <c r="F425" s="87">
        <v>0</v>
      </c>
    </row>
    <row r="426" spans="6:6">
      <c r="F426" s="87">
        <v>0</v>
      </c>
    </row>
    <row r="427" spans="6:6">
      <c r="F427" s="87">
        <v>0</v>
      </c>
    </row>
    <row r="428" spans="6:6">
      <c r="F428" s="87">
        <v>0</v>
      </c>
    </row>
    <row r="429" spans="6:6">
      <c r="F429" s="87">
        <v>0</v>
      </c>
    </row>
    <row r="430" spans="6:6">
      <c r="F430" s="87">
        <v>0</v>
      </c>
    </row>
    <row r="431" spans="6:6">
      <c r="F431" s="87">
        <v>0</v>
      </c>
    </row>
    <row r="432" spans="6:6">
      <c r="F432" s="87">
        <v>0</v>
      </c>
    </row>
    <row r="433" spans="6:6">
      <c r="F433" s="87">
        <v>0</v>
      </c>
    </row>
    <row r="434" spans="6:6">
      <c r="F434" s="87">
        <v>0</v>
      </c>
    </row>
    <row r="435" spans="6:6">
      <c r="F435" s="87">
        <v>0</v>
      </c>
    </row>
    <row r="436" spans="6:6">
      <c r="F436" s="87">
        <v>0</v>
      </c>
    </row>
    <row r="437" spans="6:6">
      <c r="F437" s="87">
        <v>0</v>
      </c>
    </row>
    <row r="438" spans="6:6">
      <c r="F438" s="87">
        <v>0</v>
      </c>
    </row>
    <row r="439" spans="6:6">
      <c r="F439" s="87">
        <v>0</v>
      </c>
    </row>
    <row r="440" spans="6:6">
      <c r="F440" s="87">
        <v>0</v>
      </c>
    </row>
    <row r="441" spans="6:6">
      <c r="F441" s="87">
        <v>0</v>
      </c>
    </row>
    <row r="442" spans="6:6">
      <c r="F442" s="87">
        <v>0</v>
      </c>
    </row>
    <row r="443" spans="6:6">
      <c r="F443" s="87">
        <v>0</v>
      </c>
    </row>
    <row r="444" spans="6:6">
      <c r="F444" s="87">
        <v>0</v>
      </c>
    </row>
    <row r="445" spans="6:6">
      <c r="F445" s="87">
        <v>0</v>
      </c>
    </row>
    <row r="446" spans="6:6">
      <c r="F446" s="87">
        <v>0</v>
      </c>
    </row>
    <row r="447" spans="6:6">
      <c r="F447" s="87">
        <v>0</v>
      </c>
    </row>
    <row r="448" spans="6:6">
      <c r="F448" s="87">
        <v>0</v>
      </c>
    </row>
    <row r="449" spans="6:6">
      <c r="F449" s="87">
        <v>0</v>
      </c>
    </row>
    <row r="450" spans="6:6">
      <c r="F450" s="87">
        <v>0</v>
      </c>
    </row>
    <row r="451" spans="6:6">
      <c r="F451" s="87">
        <v>0</v>
      </c>
    </row>
    <row r="452" spans="6:6">
      <c r="F452" s="87">
        <v>0</v>
      </c>
    </row>
    <row r="453" spans="6:6">
      <c r="F453" s="87">
        <v>0</v>
      </c>
    </row>
    <row r="454" spans="6:6">
      <c r="F454" s="87">
        <v>0</v>
      </c>
    </row>
    <row r="455" spans="6:6">
      <c r="F455" s="87">
        <v>0</v>
      </c>
    </row>
    <row r="456" spans="6:6">
      <c r="F456" s="87">
        <v>0</v>
      </c>
    </row>
    <row r="457" spans="6:6">
      <c r="F457" s="87">
        <v>0</v>
      </c>
    </row>
    <row r="458" spans="6:6">
      <c r="F458" s="87">
        <v>0</v>
      </c>
    </row>
    <row r="459" spans="6:6">
      <c r="F459" s="87">
        <v>0</v>
      </c>
    </row>
    <row r="460" spans="6:6">
      <c r="F460" s="87">
        <v>0</v>
      </c>
    </row>
    <row r="461" spans="6:6">
      <c r="F461" s="87">
        <v>0</v>
      </c>
    </row>
    <row r="462" spans="6:6">
      <c r="F462" s="87">
        <v>0</v>
      </c>
    </row>
    <row r="463" spans="6:6">
      <c r="F463" s="87">
        <v>0</v>
      </c>
    </row>
    <row r="464" spans="6:6">
      <c r="F464" s="87">
        <v>0</v>
      </c>
    </row>
    <row r="465" spans="6:6">
      <c r="F465" s="87">
        <v>0</v>
      </c>
    </row>
    <row r="466" spans="6:6">
      <c r="F466" s="87">
        <v>0</v>
      </c>
    </row>
    <row r="467" spans="6:6">
      <c r="F467" s="87">
        <v>0</v>
      </c>
    </row>
    <row r="468" spans="6:6">
      <c r="F468" s="87">
        <v>0</v>
      </c>
    </row>
    <row r="469" spans="6:6">
      <c r="F469" s="87">
        <v>0</v>
      </c>
    </row>
    <row r="470" spans="6:6">
      <c r="F470" s="87">
        <v>0</v>
      </c>
    </row>
    <row r="471" spans="6:6">
      <c r="F471" s="87">
        <v>0</v>
      </c>
    </row>
    <row r="472" spans="6:6">
      <c r="F472" s="87">
        <v>0</v>
      </c>
    </row>
    <row r="473" spans="6:6">
      <c r="F473" s="87">
        <v>0</v>
      </c>
    </row>
    <row r="474" spans="6:6">
      <c r="F474" s="87">
        <v>0</v>
      </c>
    </row>
    <row r="475" spans="6:6">
      <c r="F475" s="87">
        <v>0</v>
      </c>
    </row>
    <row r="476" spans="6:6">
      <c r="F476" s="87">
        <v>0</v>
      </c>
    </row>
    <row r="477" spans="6:6">
      <c r="F477" s="87">
        <v>0</v>
      </c>
    </row>
    <row r="478" spans="6:6">
      <c r="F478" s="87">
        <v>0</v>
      </c>
    </row>
    <row r="479" spans="6:6">
      <c r="F479" s="87">
        <v>0</v>
      </c>
    </row>
    <row r="480" spans="6:6">
      <c r="F480" s="87">
        <v>0</v>
      </c>
    </row>
    <row r="481" spans="6:6">
      <c r="F481" s="87">
        <v>0</v>
      </c>
    </row>
    <row r="482" spans="6:6">
      <c r="F482" s="87">
        <v>0</v>
      </c>
    </row>
    <row r="483" spans="6:6">
      <c r="F483" s="87">
        <v>0</v>
      </c>
    </row>
    <row r="484" spans="6:6">
      <c r="F484" s="87">
        <v>0</v>
      </c>
    </row>
    <row r="485" spans="6:6">
      <c r="F485" s="87">
        <v>0</v>
      </c>
    </row>
    <row r="486" spans="6:6">
      <c r="F486" s="87">
        <v>0</v>
      </c>
    </row>
    <row r="487" spans="6:6">
      <c r="F487" s="87">
        <v>0</v>
      </c>
    </row>
    <row r="488" spans="6:6">
      <c r="F488" s="87">
        <v>0</v>
      </c>
    </row>
    <row r="489" spans="6:6">
      <c r="F489" s="87">
        <v>0</v>
      </c>
    </row>
    <row r="490" spans="6:6">
      <c r="F490" s="87">
        <v>0</v>
      </c>
    </row>
    <row r="491" spans="6:6">
      <c r="F491" s="87">
        <v>0</v>
      </c>
    </row>
    <row r="492" spans="6:6">
      <c r="F492" s="87">
        <v>0</v>
      </c>
    </row>
    <row r="493" spans="6:6">
      <c r="F493" s="87">
        <v>0</v>
      </c>
    </row>
    <row r="494" spans="6:6">
      <c r="F494" s="87">
        <v>0</v>
      </c>
    </row>
    <row r="495" spans="6:6">
      <c r="F495" s="87">
        <v>0</v>
      </c>
    </row>
    <row r="496" spans="6:6">
      <c r="F496" s="87">
        <v>0</v>
      </c>
    </row>
    <row r="497" spans="6:6">
      <c r="F497" s="87">
        <v>0</v>
      </c>
    </row>
    <row r="498" spans="6:6">
      <c r="F498" s="87">
        <v>0</v>
      </c>
    </row>
    <row r="499" spans="6:6">
      <c r="F499" s="87">
        <v>0</v>
      </c>
    </row>
    <row r="500" spans="6:6">
      <c r="F500" s="87">
        <v>0</v>
      </c>
    </row>
    <row r="501" spans="6:6">
      <c r="F501" s="87">
        <v>0</v>
      </c>
    </row>
    <row r="502" spans="6:6">
      <c r="F502" s="87">
        <v>0</v>
      </c>
    </row>
    <row r="503" spans="6:6">
      <c r="F503" s="87">
        <v>0</v>
      </c>
    </row>
    <row r="504" spans="6:6">
      <c r="F504" s="87">
        <v>0</v>
      </c>
    </row>
    <row r="505" spans="6:6">
      <c r="F505" s="87">
        <v>0</v>
      </c>
    </row>
    <row r="506" spans="6:6">
      <c r="F506" s="87">
        <v>0</v>
      </c>
    </row>
    <row r="507" spans="6:6">
      <c r="F507" s="87">
        <v>0</v>
      </c>
    </row>
    <row r="508" spans="6:6">
      <c r="F508" s="87">
        <v>0</v>
      </c>
    </row>
    <row r="509" spans="6:6">
      <c r="F509" s="87">
        <v>0</v>
      </c>
    </row>
    <row r="510" spans="6:6">
      <c r="F510" s="87">
        <v>0</v>
      </c>
    </row>
    <row r="511" spans="6:6">
      <c r="F511" s="87">
        <v>0</v>
      </c>
    </row>
    <row r="512" spans="6:6">
      <c r="F512" s="87">
        <v>0</v>
      </c>
    </row>
    <row r="513" spans="6:6">
      <c r="F513" s="87">
        <v>0</v>
      </c>
    </row>
    <row r="514" spans="6:6">
      <c r="F514" s="87">
        <v>0</v>
      </c>
    </row>
    <row r="515" spans="6:6">
      <c r="F515" s="87">
        <v>0</v>
      </c>
    </row>
    <row r="516" spans="6:6">
      <c r="F516" s="87">
        <v>0</v>
      </c>
    </row>
    <row r="517" spans="6:6">
      <c r="F517" s="87">
        <v>0</v>
      </c>
    </row>
    <row r="518" spans="6:6">
      <c r="F518" s="87">
        <v>0</v>
      </c>
    </row>
    <row r="519" spans="6:6">
      <c r="F519" s="87">
        <v>0</v>
      </c>
    </row>
    <row r="520" spans="6:6">
      <c r="F520" s="87">
        <v>0</v>
      </c>
    </row>
    <row r="521" spans="6:6">
      <c r="F521" s="87">
        <v>0</v>
      </c>
    </row>
    <row r="522" spans="6:6">
      <c r="F522" s="87">
        <v>0</v>
      </c>
    </row>
    <row r="523" spans="6:6">
      <c r="F523" s="87">
        <v>0</v>
      </c>
    </row>
    <row r="524" spans="6:6">
      <c r="F524" s="87">
        <v>0</v>
      </c>
    </row>
    <row r="525" spans="6:6">
      <c r="F525" s="87">
        <v>0</v>
      </c>
    </row>
    <row r="526" spans="6:6">
      <c r="F526" s="87">
        <v>0</v>
      </c>
    </row>
    <row r="527" spans="6:6">
      <c r="F527" s="87">
        <v>0</v>
      </c>
    </row>
    <row r="528" spans="6:6">
      <c r="F528" s="87">
        <v>0</v>
      </c>
    </row>
    <row r="529" spans="6:6">
      <c r="F529" s="87">
        <v>0</v>
      </c>
    </row>
    <row r="530" spans="6:6">
      <c r="F530" s="87">
        <v>0</v>
      </c>
    </row>
    <row r="531" spans="6:6">
      <c r="F531" s="87">
        <v>0</v>
      </c>
    </row>
    <row r="532" spans="6:6">
      <c r="F532" s="87">
        <v>0</v>
      </c>
    </row>
    <row r="533" spans="6:6">
      <c r="F533" s="87">
        <v>0</v>
      </c>
    </row>
    <row r="534" spans="6:6">
      <c r="F534" s="87">
        <v>0</v>
      </c>
    </row>
    <row r="535" spans="6:6">
      <c r="F535" s="87">
        <v>0</v>
      </c>
    </row>
    <row r="536" spans="6:6">
      <c r="F536" s="87">
        <v>0</v>
      </c>
    </row>
    <row r="537" spans="6:6">
      <c r="F537" s="87">
        <v>0</v>
      </c>
    </row>
    <row r="538" spans="6:6">
      <c r="F538" s="87">
        <v>0</v>
      </c>
    </row>
    <row r="539" spans="6:6">
      <c r="F539" s="87">
        <v>0</v>
      </c>
    </row>
    <row r="540" spans="6:6">
      <c r="F540" s="87">
        <v>0</v>
      </c>
    </row>
    <row r="541" spans="6:6">
      <c r="F541" s="87">
        <v>0</v>
      </c>
    </row>
    <row r="542" spans="6:6">
      <c r="F542" s="87">
        <v>0</v>
      </c>
    </row>
    <row r="543" spans="6:6">
      <c r="F543" s="87">
        <v>0</v>
      </c>
    </row>
    <row r="544" spans="6:6">
      <c r="F544" s="87">
        <v>0</v>
      </c>
    </row>
    <row r="545" spans="6:6">
      <c r="F545" s="87">
        <v>0</v>
      </c>
    </row>
    <row r="546" spans="6:6">
      <c r="F546" s="87">
        <v>0</v>
      </c>
    </row>
    <row r="547" spans="6:6">
      <c r="F547" s="87">
        <v>0</v>
      </c>
    </row>
    <row r="548" spans="6:6">
      <c r="F548" s="87">
        <v>0</v>
      </c>
    </row>
    <row r="549" spans="6:6">
      <c r="F549" s="87">
        <v>0</v>
      </c>
    </row>
    <row r="550" spans="6:6">
      <c r="F550" s="87">
        <v>0</v>
      </c>
    </row>
    <row r="551" spans="6:6">
      <c r="F551" s="87">
        <v>0</v>
      </c>
    </row>
    <row r="552" spans="6:6">
      <c r="F552" s="87">
        <v>0</v>
      </c>
    </row>
    <row r="553" spans="6:6">
      <c r="F553" s="87">
        <v>0</v>
      </c>
    </row>
    <row r="554" spans="6:6">
      <c r="F554" s="87">
        <v>0</v>
      </c>
    </row>
    <row r="555" spans="6:6">
      <c r="F555" s="87">
        <v>0</v>
      </c>
    </row>
    <row r="556" spans="6:6">
      <c r="F556" s="87">
        <v>0</v>
      </c>
    </row>
    <row r="557" spans="6:6">
      <c r="F557" s="87">
        <v>0</v>
      </c>
    </row>
    <row r="558" spans="6:6">
      <c r="F558" s="87">
        <v>0</v>
      </c>
    </row>
    <row r="559" spans="6:6">
      <c r="F559" s="87">
        <v>0</v>
      </c>
    </row>
    <row r="560" spans="6:6">
      <c r="F560" s="87">
        <v>0</v>
      </c>
    </row>
    <row r="561" spans="6:6">
      <c r="F561" s="87">
        <v>0</v>
      </c>
    </row>
    <row r="562" spans="6:6">
      <c r="F562" s="87">
        <v>0</v>
      </c>
    </row>
    <row r="563" spans="6:6">
      <c r="F563" s="87">
        <v>0</v>
      </c>
    </row>
    <row r="564" spans="6:6">
      <c r="F564" s="87">
        <v>0</v>
      </c>
    </row>
    <row r="565" spans="6:6">
      <c r="F565" s="87">
        <v>0</v>
      </c>
    </row>
    <row r="566" spans="6:6">
      <c r="F566" s="87">
        <v>0</v>
      </c>
    </row>
    <row r="567" spans="6:6">
      <c r="F567" s="87">
        <v>0</v>
      </c>
    </row>
    <row r="568" spans="6:6">
      <c r="F568" s="87">
        <v>0</v>
      </c>
    </row>
    <row r="569" spans="6:6">
      <c r="F569" s="87">
        <v>0</v>
      </c>
    </row>
    <row r="570" spans="6:6">
      <c r="F570" s="87">
        <v>0</v>
      </c>
    </row>
    <row r="571" spans="6:6">
      <c r="F571" s="87">
        <v>0</v>
      </c>
    </row>
    <row r="572" spans="6:6">
      <c r="F572" s="87">
        <v>0</v>
      </c>
    </row>
    <row r="573" spans="6:6">
      <c r="F573" s="87">
        <v>0</v>
      </c>
    </row>
    <row r="574" spans="6:6">
      <c r="F574" s="87">
        <v>0</v>
      </c>
    </row>
    <row r="575" spans="6:6">
      <c r="F575" s="87">
        <v>0</v>
      </c>
    </row>
    <row r="576" spans="6:6">
      <c r="F576" s="87">
        <v>0</v>
      </c>
    </row>
    <row r="577" spans="6:6">
      <c r="F577" s="87">
        <v>0</v>
      </c>
    </row>
    <row r="578" spans="6:6">
      <c r="F578" s="87">
        <v>0</v>
      </c>
    </row>
    <row r="579" spans="6:6">
      <c r="F579" s="87">
        <v>0</v>
      </c>
    </row>
    <row r="580" spans="6:6">
      <c r="F580" s="87">
        <v>0</v>
      </c>
    </row>
    <row r="581" spans="6:6">
      <c r="F581" s="87">
        <v>0</v>
      </c>
    </row>
    <row r="582" spans="6:6">
      <c r="F582" s="87">
        <v>0</v>
      </c>
    </row>
    <row r="583" spans="6:6">
      <c r="F583" s="87">
        <v>0</v>
      </c>
    </row>
    <row r="584" spans="6:6">
      <c r="F584" s="87">
        <v>0</v>
      </c>
    </row>
    <row r="585" spans="6:6">
      <c r="F585" s="87">
        <v>0</v>
      </c>
    </row>
    <row r="586" spans="6:6">
      <c r="F586" s="87">
        <v>0</v>
      </c>
    </row>
    <row r="587" spans="6:6">
      <c r="F587" s="87">
        <v>0</v>
      </c>
    </row>
    <row r="588" spans="6:6">
      <c r="F588" s="87">
        <v>0</v>
      </c>
    </row>
    <row r="589" spans="6:6">
      <c r="F589" s="87">
        <v>0</v>
      </c>
    </row>
    <row r="590" spans="6:6">
      <c r="F590" s="87">
        <v>0</v>
      </c>
    </row>
    <row r="591" spans="6:6">
      <c r="F591" s="87">
        <v>0</v>
      </c>
    </row>
    <row r="592" spans="6:6">
      <c r="F592" s="87">
        <v>0</v>
      </c>
    </row>
    <row r="593" spans="6:6">
      <c r="F593" s="87">
        <v>0</v>
      </c>
    </row>
    <row r="594" spans="6:6">
      <c r="F594" s="87">
        <v>0</v>
      </c>
    </row>
    <row r="595" spans="6:6">
      <c r="F595" s="87">
        <v>0</v>
      </c>
    </row>
    <row r="596" spans="6:6">
      <c r="F596" s="87">
        <v>0</v>
      </c>
    </row>
    <row r="597" spans="6:6">
      <c r="F597" s="87">
        <v>0</v>
      </c>
    </row>
    <row r="598" spans="6:6">
      <c r="F598" s="87">
        <v>0</v>
      </c>
    </row>
    <row r="599" spans="6:6">
      <c r="F599" s="87">
        <v>0</v>
      </c>
    </row>
    <row r="600" spans="6:6">
      <c r="F600" s="87">
        <v>0</v>
      </c>
    </row>
    <row r="601" spans="6:6">
      <c r="F601" s="87">
        <v>0</v>
      </c>
    </row>
    <row r="602" spans="6:6">
      <c r="F602" s="87">
        <v>0</v>
      </c>
    </row>
    <row r="603" spans="6:6">
      <c r="F603" s="87">
        <v>0</v>
      </c>
    </row>
    <row r="604" spans="6:6">
      <c r="F604" s="87">
        <v>0</v>
      </c>
    </row>
    <row r="605" spans="6:6">
      <c r="F605" s="87">
        <v>0</v>
      </c>
    </row>
    <row r="606" spans="6:6">
      <c r="F606" s="87">
        <v>0</v>
      </c>
    </row>
    <row r="607" spans="6:6">
      <c r="F607" s="87">
        <v>0</v>
      </c>
    </row>
    <row r="608" spans="6:6">
      <c r="F608" s="87">
        <v>0</v>
      </c>
    </row>
    <row r="609" spans="6:6">
      <c r="F609" s="87">
        <v>0</v>
      </c>
    </row>
    <row r="610" spans="6:6">
      <c r="F610" s="87">
        <v>0</v>
      </c>
    </row>
    <row r="611" spans="6:6">
      <c r="F611" s="87">
        <v>0</v>
      </c>
    </row>
    <row r="612" spans="6:6">
      <c r="F612" s="87">
        <v>0</v>
      </c>
    </row>
    <row r="613" spans="6:6">
      <c r="F613" s="87">
        <v>0</v>
      </c>
    </row>
    <row r="614" spans="6:6">
      <c r="F614" s="87">
        <v>0</v>
      </c>
    </row>
    <row r="615" spans="6:6">
      <c r="F615" s="87">
        <v>0</v>
      </c>
    </row>
    <row r="616" spans="6:6">
      <c r="F616" s="87">
        <v>0</v>
      </c>
    </row>
    <row r="617" spans="6:6">
      <c r="F617" s="87">
        <v>0</v>
      </c>
    </row>
    <row r="618" spans="6:6">
      <c r="F618" s="87">
        <v>0</v>
      </c>
    </row>
    <row r="619" spans="6:6">
      <c r="F619" s="87">
        <v>0</v>
      </c>
    </row>
    <row r="620" spans="6:6">
      <c r="F620" s="87">
        <v>0</v>
      </c>
    </row>
    <row r="621" spans="6:6">
      <c r="F621" s="87">
        <v>0</v>
      </c>
    </row>
    <row r="622" spans="6:6">
      <c r="F622" s="87">
        <v>0</v>
      </c>
    </row>
    <row r="623" spans="6:6">
      <c r="F623" s="87">
        <v>0</v>
      </c>
    </row>
    <row r="624" spans="6:6">
      <c r="F624" s="87">
        <v>0</v>
      </c>
    </row>
    <row r="625" spans="6:6">
      <c r="F625" s="87">
        <v>0</v>
      </c>
    </row>
    <row r="626" spans="6:6">
      <c r="F626" s="87">
        <v>0</v>
      </c>
    </row>
    <row r="627" spans="6:6">
      <c r="F627" s="87">
        <v>0</v>
      </c>
    </row>
    <row r="628" spans="6:6">
      <c r="F628" s="87">
        <v>0</v>
      </c>
    </row>
    <row r="629" spans="6:6">
      <c r="F629" s="87">
        <v>0</v>
      </c>
    </row>
    <row r="630" spans="6:6">
      <c r="F630" s="87">
        <v>0</v>
      </c>
    </row>
    <row r="631" spans="6:6">
      <c r="F631" s="87">
        <v>0</v>
      </c>
    </row>
    <row r="632" spans="6:6">
      <c r="F632" s="87">
        <v>0</v>
      </c>
    </row>
    <row r="633" spans="6:6">
      <c r="F633" s="87">
        <v>0</v>
      </c>
    </row>
    <row r="634" spans="6:6">
      <c r="F634" s="87">
        <v>0</v>
      </c>
    </row>
    <row r="635" spans="6:6">
      <c r="F635" s="87">
        <v>0</v>
      </c>
    </row>
    <row r="636" spans="6:6">
      <c r="F636" s="87">
        <v>0</v>
      </c>
    </row>
    <row r="637" spans="6:6">
      <c r="F637" s="87">
        <v>0</v>
      </c>
    </row>
    <row r="638" spans="6:6">
      <c r="F638" s="87">
        <v>0</v>
      </c>
    </row>
    <row r="639" spans="6:6">
      <c r="F639" s="87">
        <v>0</v>
      </c>
    </row>
    <row r="640" spans="6:6">
      <c r="F640" s="87">
        <v>0</v>
      </c>
    </row>
    <row r="641" spans="6:6">
      <c r="F641" s="87">
        <v>0</v>
      </c>
    </row>
    <row r="642" spans="6:6">
      <c r="F642" s="87">
        <v>0</v>
      </c>
    </row>
    <row r="643" spans="6:6">
      <c r="F643" s="87">
        <v>0</v>
      </c>
    </row>
    <row r="644" spans="6:6">
      <c r="F644" s="87">
        <v>0</v>
      </c>
    </row>
    <row r="645" spans="6:6">
      <c r="F645" s="87">
        <v>0</v>
      </c>
    </row>
    <row r="646" spans="6:6">
      <c r="F646" s="87">
        <v>0</v>
      </c>
    </row>
    <row r="647" spans="6:6">
      <c r="F647" s="87">
        <v>0</v>
      </c>
    </row>
    <row r="648" spans="6:6">
      <c r="F648" s="87">
        <v>0</v>
      </c>
    </row>
    <row r="649" spans="6:6">
      <c r="F649" s="87">
        <v>0</v>
      </c>
    </row>
    <row r="650" spans="6:6">
      <c r="F650" s="87">
        <v>0</v>
      </c>
    </row>
    <row r="651" spans="6:6">
      <c r="F651" s="87">
        <v>0</v>
      </c>
    </row>
    <row r="652" spans="6:6">
      <c r="F652" s="87">
        <v>0</v>
      </c>
    </row>
    <row r="653" spans="6:6">
      <c r="F653" s="87">
        <v>0</v>
      </c>
    </row>
    <row r="654" spans="6:6">
      <c r="F654" s="87">
        <v>0</v>
      </c>
    </row>
    <row r="655" spans="6:6">
      <c r="F655" s="87">
        <v>0</v>
      </c>
    </row>
    <row r="656" spans="6:6">
      <c r="F656" s="87">
        <v>0</v>
      </c>
    </row>
    <row r="657" spans="6:6">
      <c r="F657" s="87">
        <v>0</v>
      </c>
    </row>
    <row r="658" spans="6:6">
      <c r="F658" s="87">
        <v>0</v>
      </c>
    </row>
    <row r="659" spans="6:6">
      <c r="F659" s="87">
        <v>0</v>
      </c>
    </row>
    <row r="660" spans="6:6">
      <c r="F660" s="87">
        <v>0</v>
      </c>
    </row>
    <row r="661" spans="6:6">
      <c r="F661" s="87">
        <v>0</v>
      </c>
    </row>
    <row r="662" spans="6:6">
      <c r="F662" s="87">
        <v>0</v>
      </c>
    </row>
    <row r="663" spans="6:6">
      <c r="F663" s="87">
        <v>0</v>
      </c>
    </row>
    <row r="664" spans="6:6">
      <c r="F664" s="87">
        <v>0</v>
      </c>
    </row>
  </sheetData>
  <sheetProtection password="C683" sheet="1" objects="1" scenarios="1" selectLockedCells="1"/>
  <mergeCells count="12">
    <mergeCell ref="A183:G185"/>
    <mergeCell ref="E37:G37"/>
    <mergeCell ref="E35:G35"/>
    <mergeCell ref="E33:G33"/>
    <mergeCell ref="E31:G31"/>
    <mergeCell ref="E29:G29"/>
    <mergeCell ref="E27:G27"/>
    <mergeCell ref="E25:G25"/>
    <mergeCell ref="E23:G23"/>
    <mergeCell ref="E21:G21"/>
    <mergeCell ref="A56:D56"/>
    <mergeCell ref="A16:D16"/>
  </mergeCells>
  <printOptions horizontalCentered="1"/>
  <pageMargins left="0.75" right="0.75" top="0.75" bottom="0.75" header="0.25" footer="0.25"/>
  <pageSetup paperSize="9" orientation="portrait" r:id="rId1"/>
  <headerFooter alignWithMargins="0">
    <oddFooter>&amp;C&amp;"-,Regular"&amp;8Page &amp;P of &amp;N</oddFooter>
  </headerFooter>
  <rowBreaks count="2" manualBreakCount="2">
    <brk id="44" max="6" man="1"/>
    <brk id="146"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7</vt:i4>
      </vt:variant>
    </vt:vector>
  </HeadingPairs>
  <TitlesOfParts>
    <vt:vector size="11" baseType="lpstr">
      <vt:lpstr>SUMMARY</vt:lpstr>
      <vt:lpstr>BOQ Ground Floor</vt:lpstr>
      <vt:lpstr>BOQ First Floor</vt:lpstr>
      <vt:lpstr>BOQ PerimeterWall</vt:lpstr>
      <vt:lpstr>'BOQ First Floor'!Print_Area</vt:lpstr>
      <vt:lpstr>'BOQ Ground Floor'!Print_Area</vt:lpstr>
      <vt:lpstr>'BOQ PerimeterWall'!Print_Area</vt:lpstr>
      <vt:lpstr>SUMMARY!Print_Area</vt:lpstr>
      <vt:lpstr>'BOQ First Floor'!Print_Titles</vt:lpstr>
      <vt:lpstr>'BOQ Ground Floor'!Print_Titles</vt:lpstr>
      <vt:lpstr>'BOQ PerimeterWall'!Print_Titles</vt:lpstr>
    </vt:vector>
  </TitlesOfParts>
  <Company>CMS Project Office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Idrees Badeeu</dc:creator>
  <cp:lastModifiedBy>5975</cp:lastModifiedBy>
  <cp:lastPrinted>2015-05-27T08:02:29Z</cp:lastPrinted>
  <dcterms:created xsi:type="dcterms:W3CDTF">1997-12-23T04:03:34Z</dcterms:created>
  <dcterms:modified xsi:type="dcterms:W3CDTF">2015-08-30T06:45:47Z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VID0">
    <vt:lpwstr/>
  </property>
  <property fmtid="{D5CDD505-2E9C-101B-9397-08002B2CF9AE}" pid="3" name="IVID3F391EE2">
    <vt:lpwstr/>
  </property>
  <property fmtid="{D5CDD505-2E9C-101B-9397-08002B2CF9AE}" pid="4" name="IVIDE5016D9">
    <vt:lpwstr/>
  </property>
  <property fmtid="{D5CDD505-2E9C-101B-9397-08002B2CF9AE}" pid="5" name="IVID21082703">
    <vt:lpwstr/>
  </property>
  <property fmtid="{D5CDD505-2E9C-101B-9397-08002B2CF9AE}" pid="6" name="IVID133F12F4">
    <vt:lpwstr/>
  </property>
  <property fmtid="{D5CDD505-2E9C-101B-9397-08002B2CF9AE}" pid="7" name="IVID39181601">
    <vt:lpwstr/>
  </property>
  <property fmtid="{D5CDD505-2E9C-101B-9397-08002B2CF9AE}" pid="8" name="IVID1B531AFB">
    <vt:lpwstr/>
  </property>
  <property fmtid="{D5CDD505-2E9C-101B-9397-08002B2CF9AE}" pid="9" name="IVID92C11D5">
    <vt:lpwstr/>
  </property>
  <property fmtid="{D5CDD505-2E9C-101B-9397-08002B2CF9AE}" pid="10" name="IVID153F1AED">
    <vt:lpwstr/>
  </property>
  <property fmtid="{D5CDD505-2E9C-101B-9397-08002B2CF9AE}" pid="11" name="IVID306910F7">
    <vt:lpwstr/>
  </property>
  <property fmtid="{D5CDD505-2E9C-101B-9397-08002B2CF9AE}" pid="12" name="IVID1F661AD1">
    <vt:lpwstr/>
  </property>
  <property fmtid="{D5CDD505-2E9C-101B-9397-08002B2CF9AE}" pid="13" name="IVID9CC0F8DD">
    <vt:lpwstr/>
  </property>
  <property fmtid="{D5CDD505-2E9C-101B-9397-08002B2CF9AE}" pid="14" name="IVIDF80C3A71">
    <vt:lpwstr/>
  </property>
  <property fmtid="{D5CDD505-2E9C-101B-9397-08002B2CF9AE}" pid="15" name="IVID1252170C">
    <vt:lpwstr/>
  </property>
  <property fmtid="{D5CDD505-2E9C-101B-9397-08002B2CF9AE}" pid="16" name="IVIDE3F13F2">
    <vt:lpwstr/>
  </property>
  <property fmtid="{D5CDD505-2E9C-101B-9397-08002B2CF9AE}" pid="17" name="IVID1F4F14D2">
    <vt:lpwstr/>
  </property>
  <property fmtid="{D5CDD505-2E9C-101B-9397-08002B2CF9AE}" pid="18" name="IVIDC1D10E6">
    <vt:lpwstr/>
  </property>
  <property fmtid="{D5CDD505-2E9C-101B-9397-08002B2CF9AE}" pid="19" name="IVID45491803">
    <vt:lpwstr/>
  </property>
  <property fmtid="{D5CDD505-2E9C-101B-9397-08002B2CF9AE}" pid="20" name="IVID100507E2">
    <vt:lpwstr/>
  </property>
  <property fmtid="{D5CDD505-2E9C-101B-9397-08002B2CF9AE}" pid="21" name="IVID86911DE">
    <vt:lpwstr/>
  </property>
  <property fmtid="{D5CDD505-2E9C-101B-9397-08002B2CF9AE}" pid="22" name="IVID20410801">
    <vt:lpwstr/>
  </property>
  <property fmtid="{D5CDD505-2E9C-101B-9397-08002B2CF9AE}" pid="23" name="IVIDF2B15FB">
    <vt:lpwstr/>
  </property>
  <property fmtid="{D5CDD505-2E9C-101B-9397-08002B2CF9AE}" pid="24" name="IVID2A791BD3">
    <vt:lpwstr/>
  </property>
  <property fmtid="{D5CDD505-2E9C-101B-9397-08002B2CF9AE}" pid="25" name="IVID720A7889">
    <vt:lpwstr/>
  </property>
  <property fmtid="{D5CDD505-2E9C-101B-9397-08002B2CF9AE}" pid="26" name="IVIDF1A4DFB">
    <vt:lpwstr/>
  </property>
  <property fmtid="{D5CDD505-2E9C-101B-9397-08002B2CF9AE}" pid="27" name="IVID781BDC11">
    <vt:lpwstr/>
  </property>
  <property fmtid="{D5CDD505-2E9C-101B-9397-08002B2CF9AE}" pid="28" name="IVID46621AF3">
    <vt:lpwstr/>
  </property>
</Properties>
</file>