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3545" windowHeight="11610" tabRatio="818"/>
  </bookViews>
  <sheets>
    <sheet name="GRAND SUMMARY" sheetId="45" r:id="rId1"/>
    <sheet name="GENERAL SUMMARY " sheetId="38" r:id="rId2"/>
    <sheet name="BILL 1 PRELIMINARIES" sheetId="35" r:id="rId3"/>
    <sheet name="BILL 2 WORKS BELOW GROUND" sheetId="36" r:id="rId4"/>
    <sheet name="BILL 3 CONCRETE WORKS" sheetId="37" r:id="rId5"/>
    <sheet name="BILL4 METAL AND CARPENTRY WORKS" sheetId="14" r:id="rId6"/>
    <sheet name="BILL 5 MASONRY AND PLASTERING" sheetId="4" r:id="rId7"/>
    <sheet name="Bill 6 DOORS AND WINDOWS" sheetId="7" r:id="rId8"/>
    <sheet name="Bill 7 PAINTING WORKS" sheetId="42" r:id="rId9"/>
    <sheet name="Bill 8 FLOOR FINISHES" sheetId="43" r:id="rId10"/>
    <sheet name="BILL 09 HYDRAULICS AND DRAINAGE" sheetId="9" r:id="rId11"/>
    <sheet name="BILL 10 ELECTRICAL INSTALLATION" sheetId="10" r:id="rId12"/>
    <sheet name="BILL 11 MECHANICAL SYSTEMS" sheetId="41" r:id="rId13"/>
    <sheet name="BILL 12 Additions" sheetId="46" r:id="rId14"/>
    <sheet name="BILL 13 Omissions" sheetId="48" r:id="rId15"/>
  </sheets>
  <definedNames>
    <definedName name="ddd">#REF!</definedName>
    <definedName name="FLOORFINISHES" localSheetId="13">#REF!</definedName>
    <definedName name="FLOORFINISHES" localSheetId="14">#REF!</definedName>
    <definedName name="FLOORFINISHES" localSheetId="0">#REF!</definedName>
    <definedName name="FLOORFINISHES">#REF!</definedName>
    <definedName name="markup" localSheetId="12">#REF!</definedName>
    <definedName name="markup" localSheetId="13">#REF!</definedName>
    <definedName name="markup" localSheetId="14">#REF!</definedName>
    <definedName name="markup" localSheetId="8">#REF!</definedName>
    <definedName name="markup" localSheetId="9">#REF!</definedName>
    <definedName name="markup" localSheetId="0">#REF!</definedName>
    <definedName name="markup">#REF!</definedName>
    <definedName name="_xlnm.Print_Area" localSheetId="10">'BILL 09 HYDRAULICS AND DRAINAGE'!$A$1:$F$36</definedName>
    <definedName name="_xlnm.Print_Area" localSheetId="2">'BILL 1 PRELIMINARIES'!$A$1:$F$31</definedName>
    <definedName name="_xlnm.Print_Area" localSheetId="11">'BILL 10 ELECTRICAL INSTALLATION'!$A$1:$F$72</definedName>
    <definedName name="_xlnm.Print_Area" localSheetId="12">'BILL 11 MECHANICAL SYSTEMS'!$A$1:$F$17</definedName>
    <definedName name="_xlnm.Print_Area" localSheetId="13">'BILL 12 Additions'!$A$1:$F$58</definedName>
    <definedName name="_xlnm.Print_Area" localSheetId="14">'BILL 13 Omissions'!$A$1:$F$58</definedName>
    <definedName name="_xlnm.Print_Area" localSheetId="3">'BILL 2 WORKS BELOW GROUND'!$A$1:$F$22</definedName>
    <definedName name="_xlnm.Print_Area" localSheetId="4">'BILL 3 CONCRETE WORKS'!$A$1:$F$369</definedName>
    <definedName name="_xlnm.Print_Area" localSheetId="6">'BILL 5 MASONRY AND PLASTERING'!$A$1:$F$25</definedName>
    <definedName name="_xlnm.Print_Area" localSheetId="7">'Bill 6 DOORS AND WINDOWS'!$A$1:$F$24</definedName>
    <definedName name="_xlnm.Print_Area" localSheetId="8">'Bill 7 PAINTING WORKS'!$A$1:$F$21</definedName>
    <definedName name="_xlnm.Print_Area" localSheetId="9">'Bill 8 FLOOR FINISHES'!$A$1:$F$21</definedName>
    <definedName name="_xlnm.Print_Area" localSheetId="5">'BILL4 METAL AND CARPENTRY WORKS'!$A$1:$F$27</definedName>
    <definedName name="_xlnm.Print_Titles" localSheetId="10">'BILL 09 HYDRAULICS AND DRAINAGE'!$1:$2</definedName>
    <definedName name="_xlnm.Print_Titles" localSheetId="11">'BILL 10 ELECTRICAL INSTALLATION'!$1:$2</definedName>
    <definedName name="_xlnm.Print_Titles" localSheetId="12">'BILL 11 MECHANICAL SYSTEMS'!$1:$2</definedName>
    <definedName name="_xlnm.Print_Titles" localSheetId="3">'BILL 2 WORKS BELOW GROUND'!$1:$2</definedName>
    <definedName name="_xlnm.Print_Titles" localSheetId="4">'BILL 3 CONCRETE WORKS'!$1:$2</definedName>
    <definedName name="_xlnm.Print_Titles" localSheetId="5">'BILL4 METAL AND CARPENTRY WORKS'!$1:$2</definedName>
    <definedName name="_xlnm.Print_Titles" localSheetId="1">'GENERAL SUMMARY '!$A:$B</definedName>
    <definedName name="_xlnm.Print_Titles" localSheetId="0">'GRAND SUMMARY'!$A:$B</definedName>
    <definedName name="wastage" localSheetId="12">#REF!</definedName>
    <definedName name="wastage" localSheetId="13">#REF!</definedName>
    <definedName name="wastage" localSheetId="14">#REF!</definedName>
    <definedName name="wastage" localSheetId="8">#REF!</definedName>
    <definedName name="wastage" localSheetId="9">#REF!</definedName>
    <definedName name="wastage" localSheetId="0">#REF!</definedName>
    <definedName name="wastage">#REF!</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9" i="35" l="1"/>
  <c r="F28" i="35"/>
  <c r="C172" i="37" l="1"/>
  <c r="G173" i="37"/>
  <c r="G174" i="37" s="1"/>
  <c r="N29" i="37"/>
  <c r="F32" i="37"/>
  <c r="F31" i="37"/>
  <c r="F24" i="37"/>
  <c r="F23" i="37"/>
  <c r="M29" i="37"/>
  <c r="H14" i="4"/>
  <c r="F30" i="37"/>
  <c r="Y29" i="37"/>
  <c r="Z29" i="37" s="1"/>
  <c r="AA29" i="37" s="1"/>
  <c r="S29" i="37"/>
  <c r="T29" i="37" s="1"/>
  <c r="C29" i="37" s="1"/>
  <c r="F29" i="37" s="1"/>
  <c r="C27" i="37"/>
  <c r="F27" i="37" s="1"/>
  <c r="F28" i="37"/>
  <c r="F26" i="37"/>
  <c r="F22" i="37"/>
  <c r="Y21" i="37"/>
  <c r="Z21" i="37" s="1"/>
  <c r="AA21" i="37" s="1"/>
  <c r="C20" i="37" s="1"/>
  <c r="F20" i="37" s="1"/>
  <c r="S21" i="37"/>
  <c r="T21" i="37" s="1"/>
  <c r="C21" i="37" s="1"/>
  <c r="F21" i="37" s="1"/>
  <c r="N21" i="37"/>
  <c r="M21" i="37"/>
  <c r="C18" i="37" s="1"/>
  <c r="F18" i="37" s="1"/>
  <c r="F19" i="37"/>
  <c r="F17" i="37"/>
  <c r="Z33" i="37"/>
  <c r="AA33" i="37" s="1"/>
  <c r="AB33" i="37" s="1"/>
  <c r="T33" i="37"/>
  <c r="U33" i="37" s="1"/>
  <c r="O33" i="37"/>
  <c r="N33" i="37"/>
  <c r="H172" i="37" l="1"/>
  <c r="F16" i="37"/>
  <c r="M15" i="38" l="1"/>
  <c r="M14" i="38"/>
  <c r="K16" i="38"/>
  <c r="K14" i="38"/>
  <c r="J15" i="38"/>
  <c r="J14" i="38"/>
  <c r="H15" i="38"/>
  <c r="H14" i="38"/>
  <c r="F16" i="38"/>
  <c r="F17" i="38"/>
  <c r="F14" i="38"/>
  <c r="D12" i="38"/>
  <c r="F5" i="36"/>
  <c r="F2" i="35"/>
  <c r="C12" i="38"/>
  <c r="F12" i="41"/>
  <c r="F7" i="41"/>
  <c r="F10" i="9"/>
  <c r="F30" i="9"/>
  <c r="F15" i="43"/>
  <c r="F8" i="43"/>
  <c r="F8" i="7"/>
  <c r="F19" i="7"/>
  <c r="F12" i="36"/>
  <c r="F15" i="41"/>
  <c r="F14" i="41"/>
  <c r="F70" i="10"/>
  <c r="F69" i="10"/>
  <c r="F68" i="10"/>
  <c r="F67" i="10"/>
  <c r="F66" i="10"/>
  <c r="F65" i="10"/>
  <c r="F61" i="10"/>
  <c r="F60" i="10"/>
  <c r="F59" i="10"/>
  <c r="F58" i="10"/>
  <c r="F57" i="10"/>
  <c r="F56" i="10"/>
  <c r="F55" i="10"/>
  <c r="F54" i="10"/>
  <c r="F53" i="10"/>
  <c r="F52" i="10"/>
  <c r="F51" i="10"/>
  <c r="F50" i="10"/>
  <c r="F49" i="10"/>
  <c r="F48" i="10"/>
  <c r="F47" i="10"/>
  <c r="F46" i="10"/>
  <c r="F45" i="10"/>
  <c r="F34" i="9"/>
  <c r="F33" i="9"/>
  <c r="F32" i="9"/>
  <c r="J340" i="37"/>
  <c r="K340" i="37" s="1"/>
  <c r="J341" i="37"/>
  <c r="K341" i="37" s="1"/>
  <c r="J338" i="37"/>
  <c r="C341" i="37"/>
  <c r="F341" i="37" s="1"/>
  <c r="F343" i="37"/>
  <c r="F342" i="37"/>
  <c r="F340" i="37"/>
  <c r="C14" i="43"/>
  <c r="F13" i="43"/>
  <c r="F14" i="43"/>
  <c r="F18" i="43"/>
  <c r="F17" i="43"/>
  <c r="F16" i="43"/>
  <c r="F16" i="42"/>
  <c r="F14" i="42"/>
  <c r="F23" i="7"/>
  <c r="F22" i="7"/>
  <c r="F21" i="7"/>
  <c r="F20" i="7"/>
  <c r="F43" i="10" l="1"/>
  <c r="L15" i="38" s="1"/>
  <c r="F13" i="7"/>
  <c r="F14" i="7"/>
  <c r="F15" i="7"/>
  <c r="F16" i="7"/>
  <c r="F17" i="7"/>
  <c r="F12" i="7"/>
  <c r="C22" i="4"/>
  <c r="C21" i="4"/>
  <c r="F21" i="4" s="1"/>
  <c r="C20" i="4"/>
  <c r="F20" i="4"/>
  <c r="F19" i="4"/>
  <c r="C14" i="4"/>
  <c r="F14" i="4" s="1"/>
  <c r="C13" i="4"/>
  <c r="F13" i="4"/>
  <c r="C12" i="4"/>
  <c r="C10" i="42" s="1"/>
  <c r="F12" i="14"/>
  <c r="F15" i="14"/>
  <c r="F17" i="14"/>
  <c r="F19" i="14"/>
  <c r="F23" i="14"/>
  <c r="F21" i="14" s="1"/>
  <c r="C22" i="14"/>
  <c r="F22" i="14"/>
  <c r="J286" i="37"/>
  <c r="L285" i="37" s="1"/>
  <c r="J283" i="37"/>
  <c r="K282" i="37"/>
  <c r="K77" i="37"/>
  <c r="C49" i="37"/>
  <c r="L46" i="37"/>
  <c r="M46" i="37" s="1"/>
  <c r="L45" i="37"/>
  <c r="M45" i="37" s="1"/>
  <c r="T44" i="37"/>
  <c r="T43" i="37"/>
  <c r="F51" i="37"/>
  <c r="F50" i="37"/>
  <c r="F49" i="37"/>
  <c r="K48" i="37"/>
  <c r="L48" i="37" s="1"/>
  <c r="F48" i="37"/>
  <c r="K47" i="37"/>
  <c r="L47" i="37" s="1"/>
  <c r="N47" i="37" s="1"/>
  <c r="O47" i="37" s="1"/>
  <c r="P47" i="37" s="1"/>
  <c r="F47" i="37"/>
  <c r="F46" i="37"/>
  <c r="F45" i="37"/>
  <c r="F44" i="37"/>
  <c r="F360" i="37"/>
  <c r="F359" i="37"/>
  <c r="X358" i="37"/>
  <c r="Y358" i="37" s="1"/>
  <c r="R358" i="37"/>
  <c r="S358" i="37" s="1"/>
  <c r="C358" i="37" s="1"/>
  <c r="F358" i="37" s="1"/>
  <c r="M358" i="37"/>
  <c r="C361" i="37" s="1"/>
  <c r="F361" i="37" s="1"/>
  <c r="L358" i="37"/>
  <c r="C355" i="37" s="1"/>
  <c r="F355" i="37" s="1"/>
  <c r="F356" i="37"/>
  <c r="F354" i="37"/>
  <c r="F351" i="37"/>
  <c r="J347" i="37"/>
  <c r="F349" i="37"/>
  <c r="B348" i="37"/>
  <c r="W348" i="37"/>
  <c r="X348" i="37" s="1"/>
  <c r="Y348" i="37" s="1"/>
  <c r="R348" i="37"/>
  <c r="S348" i="37" s="1"/>
  <c r="O348" i="37"/>
  <c r="M348" i="37"/>
  <c r="N348" i="37" s="1"/>
  <c r="F347" i="37"/>
  <c r="F345" i="37"/>
  <c r="B345" i="37"/>
  <c r="C165" i="37"/>
  <c r="F165" i="37" s="1"/>
  <c r="C161" i="37"/>
  <c r="F161" i="37" s="1"/>
  <c r="L160" i="37"/>
  <c r="M160" i="37" s="1"/>
  <c r="L161" i="37"/>
  <c r="M161" i="37" s="1"/>
  <c r="L154" i="37"/>
  <c r="M154" i="37" s="1"/>
  <c r="F164" i="37"/>
  <c r="M163" i="37"/>
  <c r="M164" i="37" s="1"/>
  <c r="K163" i="37"/>
  <c r="F163" i="37"/>
  <c r="F162" i="37"/>
  <c r="F160" i="37"/>
  <c r="F159" i="37"/>
  <c r="M156" i="37"/>
  <c r="M157" i="37" s="1"/>
  <c r="L153" i="37"/>
  <c r="M153" i="37" s="1"/>
  <c r="K156" i="37"/>
  <c r="F158" i="37"/>
  <c r="F157" i="37"/>
  <c r="F156" i="37"/>
  <c r="F155" i="37"/>
  <c r="F154" i="37"/>
  <c r="F153" i="37"/>
  <c r="F152" i="37"/>
  <c r="C59" i="37"/>
  <c r="F59" i="37" s="1"/>
  <c r="F57" i="37"/>
  <c r="C54" i="37"/>
  <c r="F54" i="37" s="1"/>
  <c r="T54" i="37"/>
  <c r="U54" i="37" s="1"/>
  <c r="S56" i="37"/>
  <c r="T56" i="37" s="1"/>
  <c r="S55" i="37"/>
  <c r="T55" i="37" s="1"/>
  <c r="T53" i="37"/>
  <c r="U53" i="37" s="1"/>
  <c r="L54" i="37"/>
  <c r="M54" i="37" s="1"/>
  <c r="L53" i="37"/>
  <c r="M53" i="37" s="1"/>
  <c r="F58" i="37"/>
  <c r="K56" i="37"/>
  <c r="L56" i="37" s="1"/>
  <c r="F56" i="37"/>
  <c r="K55" i="37"/>
  <c r="L55" i="37" s="1"/>
  <c r="F55" i="37"/>
  <c r="F53" i="37"/>
  <c r="F52" i="37"/>
  <c r="C336" i="37"/>
  <c r="F336" i="37" s="1"/>
  <c r="O332" i="37"/>
  <c r="P332" i="37" s="1"/>
  <c r="O331" i="37"/>
  <c r="P331" i="37" s="1"/>
  <c r="L331" i="37"/>
  <c r="F335" i="37"/>
  <c r="K334" i="37"/>
  <c r="F334" i="37"/>
  <c r="F333" i="37"/>
  <c r="F332" i="37"/>
  <c r="F331" i="37"/>
  <c r="I316" i="37"/>
  <c r="M316" i="37" s="1"/>
  <c r="I315" i="37"/>
  <c r="M315" i="37" s="1"/>
  <c r="C319" i="37" s="1"/>
  <c r="F319" i="37" s="1"/>
  <c r="I304" i="37"/>
  <c r="X304" i="37" s="1"/>
  <c r="Y304" i="37" s="1"/>
  <c r="Z304" i="37" s="1"/>
  <c r="I305" i="37"/>
  <c r="R305" i="37" s="1"/>
  <c r="S305" i="37" s="1"/>
  <c r="C305" i="37" s="1"/>
  <c r="F305" i="37" s="1"/>
  <c r="I303" i="37"/>
  <c r="M303" i="37" s="1"/>
  <c r="C308" i="37" s="1"/>
  <c r="F308" i="37" s="1"/>
  <c r="F328" i="37"/>
  <c r="F327" i="37"/>
  <c r="X326" i="37"/>
  <c r="Y326" i="37" s="1"/>
  <c r="Z326" i="37" s="1"/>
  <c r="R326" i="37"/>
  <c r="S326" i="37" s="1"/>
  <c r="C326" i="37" s="1"/>
  <c r="F326" i="37" s="1"/>
  <c r="M326" i="37"/>
  <c r="L326" i="37"/>
  <c r="X325" i="37"/>
  <c r="Y325" i="37" s="1"/>
  <c r="Z325" i="37" s="1"/>
  <c r="C324" i="37" s="1"/>
  <c r="F324" i="37" s="1"/>
  <c r="R325" i="37"/>
  <c r="S325" i="37" s="1"/>
  <c r="C325" i="37" s="1"/>
  <c r="F325" i="37" s="1"/>
  <c r="M325" i="37"/>
  <c r="C329" i="37" s="1"/>
  <c r="F329" i="37" s="1"/>
  <c r="L325" i="37"/>
  <c r="C322" i="37" s="1"/>
  <c r="F322" i="37" s="1"/>
  <c r="F323" i="37"/>
  <c r="F321" i="37"/>
  <c r="F320" i="37"/>
  <c r="F318" i="37"/>
  <c r="F317" i="37"/>
  <c r="F313" i="37"/>
  <c r="F311" i="37"/>
  <c r="F310" i="37"/>
  <c r="F309" i="37"/>
  <c r="F307" i="37"/>
  <c r="F306" i="37"/>
  <c r="F301" i="37"/>
  <c r="F299" i="37"/>
  <c r="F297" i="37"/>
  <c r="F296" i="37"/>
  <c r="I295" i="37"/>
  <c r="L295" i="37" s="1"/>
  <c r="I294" i="37"/>
  <c r="X294" i="37" s="1"/>
  <c r="F292" i="37"/>
  <c r="F290" i="37"/>
  <c r="F289" i="37"/>
  <c r="F288" i="37"/>
  <c r="F287" i="37"/>
  <c r="F286" i="37"/>
  <c r="J285" i="37"/>
  <c r="L286" i="37" s="1"/>
  <c r="F285" i="37"/>
  <c r="J170" i="37"/>
  <c r="K170" i="37" s="1"/>
  <c r="J169" i="37"/>
  <c r="K169" i="37" s="1"/>
  <c r="J168" i="37"/>
  <c r="K167" i="37"/>
  <c r="X277" i="37"/>
  <c r="Y277" i="37" s="1"/>
  <c r="Z277" i="37" s="1"/>
  <c r="R277" i="37"/>
  <c r="S277" i="37" s="1"/>
  <c r="C277" i="37" s="1"/>
  <c r="F277" i="37" s="1"/>
  <c r="M277" i="37"/>
  <c r="L277" i="37"/>
  <c r="I267" i="37"/>
  <c r="M267" i="37" s="1"/>
  <c r="I266" i="37"/>
  <c r="X266" i="37" s="1"/>
  <c r="Y266" i="37" s="1"/>
  <c r="Z266" i="37" s="1"/>
  <c r="I255" i="37"/>
  <c r="R255" i="37" s="1"/>
  <c r="S255" i="37" s="1"/>
  <c r="C255" i="37" s="1"/>
  <c r="F255" i="37" s="1"/>
  <c r="I254" i="37"/>
  <c r="M254" i="37" s="1"/>
  <c r="I245" i="37"/>
  <c r="R245" i="37" s="1"/>
  <c r="S245" i="37" s="1"/>
  <c r="C245" i="37" s="1"/>
  <c r="F245" i="37" s="1"/>
  <c r="I253" i="37"/>
  <c r="X253" i="37" s="1"/>
  <c r="Y253" i="37" s="1"/>
  <c r="Z253" i="37" s="1"/>
  <c r="I244" i="37"/>
  <c r="X244" i="37" s="1"/>
  <c r="Y244" i="37" s="1"/>
  <c r="Z244" i="37" s="1"/>
  <c r="F281" i="37"/>
  <c r="F279" i="37"/>
  <c r="F278" i="37"/>
  <c r="X276" i="37"/>
  <c r="Y276" i="37" s="1"/>
  <c r="R276" i="37"/>
  <c r="S276" i="37" s="1"/>
  <c r="C276" i="37" s="1"/>
  <c r="F276" i="37" s="1"/>
  <c r="M276" i="37"/>
  <c r="C280" i="37" s="1"/>
  <c r="F280" i="37" s="1"/>
  <c r="L276" i="37"/>
  <c r="C273" i="37" s="1"/>
  <c r="F273" i="37" s="1"/>
  <c r="F274" i="37"/>
  <c r="F272" i="37"/>
  <c r="F271" i="37"/>
  <c r="F269" i="37"/>
  <c r="F268" i="37"/>
  <c r="X265" i="37"/>
  <c r="Y265" i="37" s="1"/>
  <c r="R265" i="37"/>
  <c r="S265" i="37" s="1"/>
  <c r="C265" i="37" s="1"/>
  <c r="F265" i="37" s="1"/>
  <c r="M265" i="37"/>
  <c r="C270" i="37" s="1"/>
  <c r="F270" i="37" s="1"/>
  <c r="L265" i="37"/>
  <c r="C262" i="37" s="1"/>
  <c r="F262" i="37" s="1"/>
  <c r="F263" i="37"/>
  <c r="F261" i="37"/>
  <c r="F259" i="37"/>
  <c r="F257" i="37"/>
  <c r="F256" i="37"/>
  <c r="F251" i="37"/>
  <c r="F249" i="37"/>
  <c r="F239" i="37"/>
  <c r="F260" i="37"/>
  <c r="F247" i="37"/>
  <c r="F246" i="37"/>
  <c r="F242" i="37"/>
  <c r="F240" i="37"/>
  <c r="F237" i="37"/>
  <c r="F236" i="37"/>
  <c r="F235" i="37"/>
  <c r="D234" i="37"/>
  <c r="C234" i="37"/>
  <c r="F234" i="37" s="1"/>
  <c r="B234" i="37"/>
  <c r="B233" i="37"/>
  <c r="W232" i="37"/>
  <c r="X232" i="37" s="1"/>
  <c r="Y232" i="37" s="1"/>
  <c r="R232" i="37"/>
  <c r="S232" i="37" s="1"/>
  <c r="O232" i="37"/>
  <c r="M232" i="37"/>
  <c r="N232" i="37" s="1"/>
  <c r="W231" i="37"/>
  <c r="X231" i="37" s="1"/>
  <c r="Y231" i="37" s="1"/>
  <c r="C232" i="37" s="1"/>
  <c r="F232" i="37" s="1"/>
  <c r="R231" i="37"/>
  <c r="S231" i="37" s="1"/>
  <c r="C233" i="37" s="1"/>
  <c r="F233" i="37" s="1"/>
  <c r="O231" i="37"/>
  <c r="C238" i="37" s="1"/>
  <c r="F238" i="37" s="1"/>
  <c r="N231" i="37"/>
  <c r="C230" i="37" s="1"/>
  <c r="F230" i="37" s="1"/>
  <c r="F231" i="37"/>
  <c r="F229" i="37"/>
  <c r="B229" i="37"/>
  <c r="F228" i="37"/>
  <c r="F226" i="37"/>
  <c r="F225" i="37"/>
  <c r="F224" i="37"/>
  <c r="D223" i="37"/>
  <c r="C223" i="37"/>
  <c r="F223" i="37" s="1"/>
  <c r="B223" i="37"/>
  <c r="B222" i="37"/>
  <c r="W221" i="37"/>
  <c r="X221" i="37" s="1"/>
  <c r="Y221" i="37" s="1"/>
  <c r="R221" i="37"/>
  <c r="S221" i="37" s="1"/>
  <c r="O221" i="37"/>
  <c r="M221" i="37"/>
  <c r="N221" i="37" s="1"/>
  <c r="W220" i="37"/>
  <c r="X220" i="37" s="1"/>
  <c r="Y220" i="37" s="1"/>
  <c r="C221" i="37" s="1"/>
  <c r="F221" i="37" s="1"/>
  <c r="R220" i="37"/>
  <c r="S220" i="37" s="1"/>
  <c r="C222" i="37" s="1"/>
  <c r="F222" i="37" s="1"/>
  <c r="O220" i="37"/>
  <c r="C227" i="37" s="1"/>
  <c r="F227" i="37" s="1"/>
  <c r="N220" i="37"/>
  <c r="C219" i="37" s="1"/>
  <c r="F219" i="37" s="1"/>
  <c r="F220" i="37"/>
  <c r="F218" i="37"/>
  <c r="B218" i="37"/>
  <c r="F217" i="37"/>
  <c r="F215" i="37"/>
  <c r="F214" i="37"/>
  <c r="F213" i="37"/>
  <c r="D212" i="37"/>
  <c r="C212" i="37"/>
  <c r="F212" i="37" s="1"/>
  <c r="B212" i="37"/>
  <c r="B211" i="37"/>
  <c r="W210" i="37"/>
  <c r="X210" i="37" s="1"/>
  <c r="Y210" i="37" s="1"/>
  <c r="R210" i="37"/>
  <c r="S210" i="37" s="1"/>
  <c r="O210" i="37"/>
  <c r="M210" i="37"/>
  <c r="N210" i="37" s="1"/>
  <c r="W209" i="37"/>
  <c r="X209" i="37" s="1"/>
  <c r="Y209" i="37" s="1"/>
  <c r="C210" i="37" s="1"/>
  <c r="F210" i="37" s="1"/>
  <c r="R209" i="37"/>
  <c r="S209" i="37" s="1"/>
  <c r="C211" i="37" s="1"/>
  <c r="F211" i="37" s="1"/>
  <c r="O209" i="37"/>
  <c r="C216" i="37" s="1"/>
  <c r="F216" i="37" s="1"/>
  <c r="N209" i="37"/>
  <c r="C208" i="37" s="1"/>
  <c r="F208" i="37" s="1"/>
  <c r="F209" i="37"/>
  <c r="F207" i="37"/>
  <c r="B207" i="37"/>
  <c r="F206" i="37"/>
  <c r="F204" i="37"/>
  <c r="F203" i="37"/>
  <c r="F202" i="37"/>
  <c r="D201" i="37"/>
  <c r="C201" i="37"/>
  <c r="F201" i="37" s="1"/>
  <c r="B201" i="37"/>
  <c r="B200" i="37"/>
  <c r="W199" i="37"/>
  <c r="X199" i="37" s="1"/>
  <c r="Y199" i="37" s="1"/>
  <c r="R199" i="37"/>
  <c r="S199" i="37" s="1"/>
  <c r="O199" i="37"/>
  <c r="M199" i="37"/>
  <c r="N199" i="37" s="1"/>
  <c r="W198" i="37"/>
  <c r="X198" i="37" s="1"/>
  <c r="Y198" i="37" s="1"/>
  <c r="C199" i="37" s="1"/>
  <c r="F199" i="37" s="1"/>
  <c r="R198" i="37"/>
  <c r="S198" i="37" s="1"/>
  <c r="C200" i="37" s="1"/>
  <c r="F200" i="37" s="1"/>
  <c r="O198" i="37"/>
  <c r="C205" i="37" s="1"/>
  <c r="F205" i="37" s="1"/>
  <c r="N198" i="37"/>
  <c r="C197" i="37" s="1"/>
  <c r="F197" i="37" s="1"/>
  <c r="F198" i="37"/>
  <c r="F196" i="37"/>
  <c r="B196" i="37"/>
  <c r="F195" i="37"/>
  <c r="F193" i="37"/>
  <c r="F192" i="37"/>
  <c r="F191" i="37"/>
  <c r="D190" i="37"/>
  <c r="C190" i="37"/>
  <c r="F190" i="37" s="1"/>
  <c r="B190" i="37"/>
  <c r="B189" i="37"/>
  <c r="W188" i="37"/>
  <c r="X188" i="37" s="1"/>
  <c r="Y188" i="37" s="1"/>
  <c r="R188" i="37"/>
  <c r="S188" i="37" s="1"/>
  <c r="O188" i="37"/>
  <c r="M188" i="37"/>
  <c r="N188" i="37" s="1"/>
  <c r="W187" i="37"/>
  <c r="X187" i="37" s="1"/>
  <c r="Y187" i="37" s="1"/>
  <c r="C188" i="37" s="1"/>
  <c r="F188" i="37" s="1"/>
  <c r="R187" i="37"/>
  <c r="S187" i="37" s="1"/>
  <c r="C189" i="37" s="1"/>
  <c r="F189" i="37" s="1"/>
  <c r="O187" i="37"/>
  <c r="C194" i="37" s="1"/>
  <c r="F194" i="37" s="1"/>
  <c r="N187" i="37"/>
  <c r="C186" i="37" s="1"/>
  <c r="F186" i="37" s="1"/>
  <c r="F187" i="37"/>
  <c r="F185" i="37"/>
  <c r="B185" i="37"/>
  <c r="F184" i="37"/>
  <c r="F182" i="37"/>
  <c r="F181" i="37"/>
  <c r="F180" i="37"/>
  <c r="D179" i="37"/>
  <c r="C179" i="37"/>
  <c r="F179" i="37" s="1"/>
  <c r="B179" i="37"/>
  <c r="B178" i="37"/>
  <c r="W177" i="37"/>
  <c r="X177" i="37" s="1"/>
  <c r="Y177" i="37" s="1"/>
  <c r="R177" i="37"/>
  <c r="S177" i="37" s="1"/>
  <c r="O177" i="37"/>
  <c r="M177" i="37"/>
  <c r="N177" i="37" s="1"/>
  <c r="W176" i="37"/>
  <c r="X176" i="37" s="1"/>
  <c r="Y176" i="37" s="1"/>
  <c r="C177" i="37" s="1"/>
  <c r="F177" i="37" s="1"/>
  <c r="R176" i="37"/>
  <c r="S176" i="37" s="1"/>
  <c r="C178" i="37" s="1"/>
  <c r="F178" i="37" s="1"/>
  <c r="O176" i="37"/>
  <c r="C183" i="37" s="1"/>
  <c r="F183" i="37" s="1"/>
  <c r="N176" i="37"/>
  <c r="C175" i="37" s="1"/>
  <c r="F175" i="37" s="1"/>
  <c r="F176" i="37"/>
  <c r="F174" i="37"/>
  <c r="B174" i="37"/>
  <c r="F173" i="37"/>
  <c r="F172" i="37"/>
  <c r="F171" i="37"/>
  <c r="F170" i="37"/>
  <c r="F169" i="37"/>
  <c r="W145" i="37"/>
  <c r="X145" i="37" s="1"/>
  <c r="Y145" i="37" s="1"/>
  <c r="R145" i="37"/>
  <c r="S145" i="37" s="1"/>
  <c r="O145" i="37"/>
  <c r="M145" i="37"/>
  <c r="N145" i="37" s="1"/>
  <c r="W144" i="37"/>
  <c r="X144" i="37" s="1"/>
  <c r="Y144" i="37" s="1"/>
  <c r="C145" i="37" s="1"/>
  <c r="F145" i="37" s="1"/>
  <c r="R144" i="37"/>
  <c r="S144" i="37" s="1"/>
  <c r="C146" i="37" s="1"/>
  <c r="F146" i="37" s="1"/>
  <c r="O144" i="37"/>
  <c r="C151" i="37" s="1"/>
  <c r="F151" i="37" s="1"/>
  <c r="N144" i="37"/>
  <c r="C143" i="37" s="1"/>
  <c r="F143" i="37" s="1"/>
  <c r="W134" i="37"/>
  <c r="X134" i="37" s="1"/>
  <c r="Y134" i="37" s="1"/>
  <c r="R134" i="37"/>
  <c r="S134" i="37" s="1"/>
  <c r="O134" i="37"/>
  <c r="M134" i="37"/>
  <c r="N134" i="37" s="1"/>
  <c r="W133" i="37"/>
  <c r="X133" i="37" s="1"/>
  <c r="Y133" i="37" s="1"/>
  <c r="C134" i="37" s="1"/>
  <c r="F134" i="37" s="1"/>
  <c r="R133" i="37"/>
  <c r="S133" i="37" s="1"/>
  <c r="C135" i="37" s="1"/>
  <c r="F135" i="37" s="1"/>
  <c r="O133" i="37"/>
  <c r="C140" i="37" s="1"/>
  <c r="F140" i="37" s="1"/>
  <c r="N133" i="37"/>
  <c r="C132" i="37" s="1"/>
  <c r="F132" i="37" s="1"/>
  <c r="O111" i="37"/>
  <c r="C118" i="37" s="1"/>
  <c r="F118" i="37" s="1"/>
  <c r="F150" i="37"/>
  <c r="F149" i="37"/>
  <c r="F148" i="37"/>
  <c r="D147" i="37"/>
  <c r="C147" i="37"/>
  <c r="F147" i="37" s="1"/>
  <c r="B147" i="37"/>
  <c r="B146" i="37"/>
  <c r="F144" i="37"/>
  <c r="F142" i="37"/>
  <c r="B142" i="37"/>
  <c r="F141" i="37"/>
  <c r="F139" i="37"/>
  <c r="F138" i="37"/>
  <c r="F137" i="37"/>
  <c r="D136" i="37"/>
  <c r="C136" i="37"/>
  <c r="F136" i="37" s="1"/>
  <c r="B136" i="37"/>
  <c r="B135" i="37"/>
  <c r="F133" i="37"/>
  <c r="F131" i="37"/>
  <c r="B131" i="37"/>
  <c r="F130" i="37"/>
  <c r="F128" i="37"/>
  <c r="F127" i="37"/>
  <c r="F126" i="37"/>
  <c r="D125" i="37"/>
  <c r="C125" i="37"/>
  <c r="F125" i="37" s="1"/>
  <c r="B125" i="37"/>
  <c r="B124" i="37"/>
  <c r="W123" i="37"/>
  <c r="X123" i="37" s="1"/>
  <c r="Y123" i="37" s="1"/>
  <c r="R123" i="37"/>
  <c r="S123" i="37" s="1"/>
  <c r="O123" i="37"/>
  <c r="M123" i="37"/>
  <c r="N123" i="37" s="1"/>
  <c r="W122" i="37"/>
  <c r="X122" i="37" s="1"/>
  <c r="R122" i="37"/>
  <c r="S122" i="37" s="1"/>
  <c r="C124" i="37" s="1"/>
  <c r="F124" i="37" s="1"/>
  <c r="O122" i="37"/>
  <c r="C129" i="37" s="1"/>
  <c r="F129" i="37" s="1"/>
  <c r="N122" i="37"/>
  <c r="C121" i="37" s="1"/>
  <c r="F121" i="37" s="1"/>
  <c r="F122" i="37"/>
  <c r="F120" i="37"/>
  <c r="B120" i="37"/>
  <c r="F119" i="37"/>
  <c r="F117" i="37"/>
  <c r="F116" i="37"/>
  <c r="F115" i="37"/>
  <c r="D114" i="37"/>
  <c r="C114" i="37"/>
  <c r="F114" i="37" s="1"/>
  <c r="B114" i="37"/>
  <c r="B113" i="37"/>
  <c r="W112" i="37"/>
  <c r="X112" i="37" s="1"/>
  <c r="Y112" i="37" s="1"/>
  <c r="R112" i="37"/>
  <c r="S112" i="37" s="1"/>
  <c r="O112" i="37"/>
  <c r="M112" i="37"/>
  <c r="N112" i="37" s="1"/>
  <c r="W111" i="37"/>
  <c r="X111" i="37" s="1"/>
  <c r="R111" i="37"/>
  <c r="S111" i="37" s="1"/>
  <c r="C113" i="37" s="1"/>
  <c r="F113" i="37" s="1"/>
  <c r="N111" i="37"/>
  <c r="C110" i="37" s="1"/>
  <c r="F110" i="37" s="1"/>
  <c r="F111" i="37"/>
  <c r="F109" i="37"/>
  <c r="B109" i="37"/>
  <c r="F108" i="37"/>
  <c r="F106" i="37"/>
  <c r="F105" i="37"/>
  <c r="F104" i="37"/>
  <c r="D103" i="37"/>
  <c r="C103" i="37"/>
  <c r="F103" i="37" s="1"/>
  <c r="B103" i="37"/>
  <c r="B102" i="37"/>
  <c r="W101" i="37"/>
  <c r="X101" i="37" s="1"/>
  <c r="Y101" i="37" s="1"/>
  <c r="R101" i="37"/>
  <c r="S101" i="37" s="1"/>
  <c r="O101" i="37"/>
  <c r="M101" i="37"/>
  <c r="N101" i="37" s="1"/>
  <c r="W100" i="37"/>
  <c r="X100" i="37" s="1"/>
  <c r="Y100" i="37" s="1"/>
  <c r="R100" i="37"/>
  <c r="S100" i="37" s="1"/>
  <c r="C102" i="37" s="1"/>
  <c r="F102" i="37" s="1"/>
  <c r="O100" i="37"/>
  <c r="C107" i="37" s="1"/>
  <c r="F107" i="37" s="1"/>
  <c r="N100" i="37"/>
  <c r="C99" i="37" s="1"/>
  <c r="F99" i="37" s="1"/>
  <c r="F100" i="37"/>
  <c r="F98" i="37"/>
  <c r="B98" i="37"/>
  <c r="F97" i="37"/>
  <c r="O89" i="37"/>
  <c r="N89" i="37"/>
  <c r="J82" i="37"/>
  <c r="L81" i="37" s="1"/>
  <c r="J81" i="37"/>
  <c r="K81" i="37" s="1"/>
  <c r="J78" i="37"/>
  <c r="O62" i="37"/>
  <c r="O61" i="37"/>
  <c r="P61" i="37" s="1"/>
  <c r="K61" i="37"/>
  <c r="L61" i="37" s="1"/>
  <c r="F67" i="37"/>
  <c r="F66" i="37"/>
  <c r="F65" i="37"/>
  <c r="F64" i="37"/>
  <c r="F63" i="37"/>
  <c r="F62" i="37"/>
  <c r="F61" i="37"/>
  <c r="J8" i="36"/>
  <c r="J7" i="36"/>
  <c r="J6" i="36"/>
  <c r="C38" i="37"/>
  <c r="R13" i="37"/>
  <c r="R14" i="37" s="1"/>
  <c r="L38" i="37"/>
  <c r="M38" i="37" s="1"/>
  <c r="L37" i="37"/>
  <c r="M37" i="37" s="1"/>
  <c r="Q9" i="37"/>
  <c r="C35" i="37"/>
  <c r="C10" i="36"/>
  <c r="C8" i="36"/>
  <c r="C9" i="36"/>
  <c r="T45" i="37" l="1"/>
  <c r="C15" i="42"/>
  <c r="F15" i="42" s="1"/>
  <c r="F22" i="4"/>
  <c r="F17" i="4" s="1"/>
  <c r="G15" i="38" s="1"/>
  <c r="K285" i="37"/>
  <c r="M340" i="37"/>
  <c r="N45" i="37"/>
  <c r="O45" i="37" s="1"/>
  <c r="Z358" i="37"/>
  <c r="C357" i="37" s="1"/>
  <c r="F357" i="37" s="1"/>
  <c r="L315" i="37"/>
  <c r="C312" i="37" s="1"/>
  <c r="F312" i="37" s="1"/>
  <c r="R347" i="37"/>
  <c r="S347" i="37" s="1"/>
  <c r="N347" i="37"/>
  <c r="C346" i="37" s="1"/>
  <c r="F346" i="37" s="1"/>
  <c r="W347" i="37"/>
  <c r="O347" i="37"/>
  <c r="C352" i="37" s="1"/>
  <c r="F352" i="37" s="1"/>
  <c r="N37" i="37"/>
  <c r="O37" i="37" s="1"/>
  <c r="P37" i="37" s="1"/>
  <c r="N160" i="37"/>
  <c r="O160" i="37" s="1"/>
  <c r="N153" i="37"/>
  <c r="O153" i="37" s="1"/>
  <c r="V53" i="37"/>
  <c r="W53" i="37" s="1"/>
  <c r="V55" i="37"/>
  <c r="W55" i="37" s="1"/>
  <c r="X55" i="37" s="1"/>
  <c r="N53" i="37"/>
  <c r="O53" i="37" s="1"/>
  <c r="N55" i="37"/>
  <c r="O55" i="37" s="1"/>
  <c r="P55" i="37" s="1"/>
  <c r="Q331" i="37"/>
  <c r="R331" i="37" s="1"/>
  <c r="R316" i="37"/>
  <c r="S316" i="37" s="1"/>
  <c r="C316" i="37" s="1"/>
  <c r="F316" i="37" s="1"/>
  <c r="Y294" i="37"/>
  <c r="Z294" i="37" s="1"/>
  <c r="C293" i="37" s="1"/>
  <c r="F293" i="37" s="1"/>
  <c r="X315" i="37"/>
  <c r="R315" i="37"/>
  <c r="S315" i="37" s="1"/>
  <c r="C315" i="37" s="1"/>
  <c r="F315" i="37" s="1"/>
  <c r="M305" i="37"/>
  <c r="L316" i="37"/>
  <c r="R253" i="37"/>
  <c r="S253" i="37" s="1"/>
  <c r="C253" i="37" s="1"/>
  <c r="F253" i="37" s="1"/>
  <c r="X316" i="37"/>
  <c r="Y316" i="37" s="1"/>
  <c r="Z316" i="37" s="1"/>
  <c r="R303" i="37"/>
  <c r="S303" i="37" s="1"/>
  <c r="C303" i="37" s="1"/>
  <c r="F303" i="37" s="1"/>
  <c r="X303" i="37"/>
  <c r="M295" i="37"/>
  <c r="X267" i="37"/>
  <c r="Y267" i="37" s="1"/>
  <c r="Z267" i="37" s="1"/>
  <c r="R295" i="37"/>
  <c r="S295" i="37" s="1"/>
  <c r="C295" i="37" s="1"/>
  <c r="F295" i="37" s="1"/>
  <c r="L267" i="37"/>
  <c r="L253" i="37"/>
  <c r="C250" i="37" s="1"/>
  <c r="F250" i="37" s="1"/>
  <c r="R304" i="37"/>
  <c r="S304" i="37" s="1"/>
  <c r="C304" i="37" s="1"/>
  <c r="F304" i="37" s="1"/>
  <c r="M253" i="37"/>
  <c r="C258" i="37" s="1"/>
  <c r="F258" i="37" s="1"/>
  <c r="X305" i="37"/>
  <c r="Y305" i="37" s="1"/>
  <c r="Z305" i="37" s="1"/>
  <c r="X245" i="37"/>
  <c r="Y245" i="37" s="1"/>
  <c r="Z245" i="37" s="1"/>
  <c r="L303" i="37"/>
  <c r="C300" i="37" s="1"/>
  <c r="F300" i="37" s="1"/>
  <c r="L294" i="37"/>
  <c r="C291" i="37" s="1"/>
  <c r="F291" i="37" s="1"/>
  <c r="M294" i="37"/>
  <c r="C298" i="37" s="1"/>
  <c r="F298" i="37" s="1"/>
  <c r="R294" i="37"/>
  <c r="S294" i="37" s="1"/>
  <c r="C294" i="37" s="1"/>
  <c r="F294" i="37" s="1"/>
  <c r="X295" i="37"/>
  <c r="Y295" i="37" s="1"/>
  <c r="Z295" i="37" s="1"/>
  <c r="L305" i="37"/>
  <c r="K286" i="37"/>
  <c r="L304" i="37"/>
  <c r="M304" i="37"/>
  <c r="X255" i="37"/>
  <c r="L82" i="37"/>
  <c r="K82" i="37"/>
  <c r="L244" i="37"/>
  <c r="C241" i="37" s="1"/>
  <c r="F241" i="37" s="1"/>
  <c r="R244" i="37"/>
  <c r="S244" i="37" s="1"/>
  <c r="C244" i="37" s="1"/>
  <c r="F244" i="37" s="1"/>
  <c r="L245" i="37"/>
  <c r="M245" i="37"/>
  <c r="R267" i="37"/>
  <c r="S267" i="37" s="1"/>
  <c r="C267" i="37" s="1"/>
  <c r="F267" i="37" s="1"/>
  <c r="Z276" i="37"/>
  <c r="C275" i="37" s="1"/>
  <c r="F275" i="37" s="1"/>
  <c r="X254" i="37"/>
  <c r="Z265" i="37"/>
  <c r="C264" i="37" s="1"/>
  <c r="F264" i="37" s="1"/>
  <c r="L266" i="37"/>
  <c r="M266" i="37"/>
  <c r="R266" i="37"/>
  <c r="S266" i="37" s="1"/>
  <c r="C266" i="37" s="1"/>
  <c r="F266" i="37" s="1"/>
  <c r="C252" i="37"/>
  <c r="F252" i="37" s="1"/>
  <c r="L255" i="37"/>
  <c r="M255" i="37"/>
  <c r="R254" i="37"/>
  <c r="S254" i="37" s="1"/>
  <c r="C254" i="37" s="1"/>
  <c r="F254" i="37" s="1"/>
  <c r="L254" i="37"/>
  <c r="C243" i="37"/>
  <c r="F243" i="37" s="1"/>
  <c r="M244" i="37"/>
  <c r="C248" i="37" s="1"/>
  <c r="F248" i="37" s="1"/>
  <c r="L170" i="37"/>
  <c r="P62" i="37"/>
  <c r="Q61" i="37" s="1"/>
  <c r="R61" i="37" s="1"/>
  <c r="K64" i="37"/>
  <c r="Y111" i="37"/>
  <c r="C112" i="37" s="1"/>
  <c r="F112" i="37" s="1"/>
  <c r="L169" i="37"/>
  <c r="Y122" i="37"/>
  <c r="C123" i="37" s="1"/>
  <c r="F123" i="37" s="1"/>
  <c r="C101" i="37"/>
  <c r="F101" i="37" s="1"/>
  <c r="F14" i="14"/>
  <c r="F167" i="37" l="1"/>
  <c r="E15" i="38" s="1"/>
  <c r="M285" i="37"/>
  <c r="N285" i="37" s="1"/>
  <c r="Q57" i="37"/>
  <c r="N340" i="37"/>
  <c r="O340" i="37" s="1"/>
  <c r="X347" i="37"/>
  <c r="Y347" i="37" s="1"/>
  <c r="C348" i="37" s="1"/>
  <c r="F348" i="37" s="1"/>
  <c r="F338" i="37" s="1"/>
  <c r="E17" i="38" s="1"/>
  <c r="Y315" i="37"/>
  <c r="Z315" i="37" s="1"/>
  <c r="C314" i="37" s="1"/>
  <c r="F314" i="37" s="1"/>
  <c r="Y303" i="37"/>
  <c r="Z303" i="37" s="1"/>
  <c r="C302" i="37" s="1"/>
  <c r="F302" i="37" s="1"/>
  <c r="F283" i="37" s="1"/>
  <c r="E16" i="38" s="1"/>
  <c r="M169" i="37"/>
  <c r="N169" i="37" s="1"/>
  <c r="O169" i="37" s="1"/>
  <c r="O285" i="37"/>
  <c r="Y254" i="37"/>
  <c r="Z254" i="37" s="1"/>
  <c r="Y255" i="37"/>
  <c r="Z255" i="37" s="1"/>
  <c r="C20" i="36" l="1"/>
  <c r="F9" i="41" l="1"/>
  <c r="F10" i="41"/>
  <c r="F11" i="41"/>
  <c r="F12" i="9"/>
  <c r="F13" i="9"/>
  <c r="F14" i="9"/>
  <c r="F15" i="9"/>
  <c r="F16" i="9"/>
  <c r="F17" i="9"/>
  <c r="F18" i="9"/>
  <c r="F19" i="9"/>
  <c r="F20" i="9"/>
  <c r="F21" i="9"/>
  <c r="F22" i="9"/>
  <c r="F23" i="9"/>
  <c r="F24" i="9"/>
  <c r="F25" i="9"/>
  <c r="F26" i="9"/>
  <c r="F28" i="9"/>
  <c r="F10" i="42"/>
  <c r="N73" i="37"/>
  <c r="C76" i="37" s="1"/>
  <c r="F76" i="37" s="1"/>
  <c r="K39" i="37"/>
  <c r="L39" i="37" s="1"/>
  <c r="K40" i="37"/>
  <c r="L40" i="37" s="1"/>
  <c r="S73" i="37"/>
  <c r="T73" i="37" s="1"/>
  <c r="M73" i="37"/>
  <c r="C70" i="37" s="1"/>
  <c r="F70" i="37" s="1"/>
  <c r="Y73" i="37"/>
  <c r="Z73" i="37" s="1"/>
  <c r="AA73" i="37" s="1"/>
  <c r="C72" i="37" s="1"/>
  <c r="F72" i="37" s="1"/>
  <c r="F20" i="35"/>
  <c r="C18" i="38" s="1"/>
  <c r="D10" i="45" s="1"/>
  <c r="F21" i="35"/>
  <c r="F22" i="35"/>
  <c r="F23" i="35"/>
  <c r="F24" i="35"/>
  <c r="F25" i="35"/>
  <c r="F26" i="35"/>
  <c r="F27" i="35"/>
  <c r="F34" i="10"/>
  <c r="F35" i="10"/>
  <c r="F36" i="10"/>
  <c r="F37" i="10"/>
  <c r="F38" i="10"/>
  <c r="F39" i="10"/>
  <c r="F40" i="10"/>
  <c r="F22" i="10"/>
  <c r="F23" i="10"/>
  <c r="F24" i="10"/>
  <c r="F25" i="10"/>
  <c r="F26" i="10"/>
  <c r="F27" i="10"/>
  <c r="F28" i="10"/>
  <c r="F29" i="10"/>
  <c r="F30" i="10"/>
  <c r="F11" i="7"/>
  <c r="F284" i="37"/>
  <c r="F77" i="37"/>
  <c r="F30" i="35"/>
  <c r="F7" i="36"/>
  <c r="F8" i="36"/>
  <c r="F9" i="36"/>
  <c r="F10" i="36"/>
  <c r="F11" i="36"/>
  <c r="F13" i="36"/>
  <c r="F15" i="36"/>
  <c r="F16" i="36"/>
  <c r="F17" i="36"/>
  <c r="F18" i="36"/>
  <c r="F19" i="36"/>
  <c r="F20" i="36"/>
  <c r="F21" i="36"/>
  <c r="F6" i="36"/>
  <c r="F14" i="10"/>
  <c r="F15" i="10"/>
  <c r="F16" i="10"/>
  <c r="F17" i="10"/>
  <c r="F18" i="10"/>
  <c r="F19" i="10"/>
  <c r="F20" i="10"/>
  <c r="F21" i="10"/>
  <c r="F31" i="10"/>
  <c r="F32" i="10"/>
  <c r="F33" i="10"/>
  <c r="F13" i="10"/>
  <c r="F11" i="43"/>
  <c r="F12" i="43"/>
  <c r="F10" i="43"/>
  <c r="F20" i="42"/>
  <c r="F13" i="42" s="1"/>
  <c r="I15" i="38" s="1"/>
  <c r="F10" i="7"/>
  <c r="F18" i="7"/>
  <c r="F9" i="7"/>
  <c r="F12" i="4"/>
  <c r="F9" i="4" s="1"/>
  <c r="G14" i="38" s="1"/>
  <c r="F12" i="37"/>
  <c r="E12" i="38" s="1"/>
  <c r="F35" i="37"/>
  <c r="F36" i="37"/>
  <c r="F37" i="37"/>
  <c r="F38" i="37"/>
  <c r="F39" i="37"/>
  <c r="F40" i="37"/>
  <c r="F41" i="37"/>
  <c r="F42" i="37"/>
  <c r="F43" i="37"/>
  <c r="F60" i="37"/>
  <c r="F68" i="37"/>
  <c r="F69" i="37"/>
  <c r="F71" i="37"/>
  <c r="F74" i="37"/>
  <c r="F75" i="37"/>
  <c r="F34" i="37"/>
  <c r="F82" i="37"/>
  <c r="F83" i="37"/>
  <c r="F84" i="37"/>
  <c r="F85" i="37"/>
  <c r="F86" i="37"/>
  <c r="F87" i="37"/>
  <c r="F89" i="37"/>
  <c r="F93" i="37"/>
  <c r="F94" i="37"/>
  <c r="F95" i="37"/>
  <c r="F282" i="37"/>
  <c r="F81" i="37"/>
  <c r="F11" i="42"/>
  <c r="F18" i="14"/>
  <c r="F13" i="14"/>
  <c r="D92" i="37"/>
  <c r="B92" i="37"/>
  <c r="B91" i="37"/>
  <c r="W90" i="37"/>
  <c r="X90" i="37" s="1"/>
  <c r="Y90" i="37" s="1"/>
  <c r="R90" i="37"/>
  <c r="S90" i="37" s="1"/>
  <c r="C92" i="37"/>
  <c r="F92" i="37" s="1"/>
  <c r="O90" i="37"/>
  <c r="M90" i="37"/>
  <c r="N90" i="37" s="1"/>
  <c r="W89" i="37"/>
  <c r="R89" i="37"/>
  <c r="S89" i="37" s="1"/>
  <c r="C91" i="37" s="1"/>
  <c r="F91" i="37" s="1"/>
  <c r="C96" i="37"/>
  <c r="F96" i="37" s="1"/>
  <c r="C88" i="37"/>
  <c r="F88" i="37" s="1"/>
  <c r="B87" i="37"/>
  <c r="F5" i="48"/>
  <c r="F6" i="48"/>
  <c r="F7" i="48"/>
  <c r="F8" i="48"/>
  <c r="F9" i="48"/>
  <c r="F10" i="48"/>
  <c r="F11" i="48"/>
  <c r="F12"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F54" i="48"/>
  <c r="F55" i="48"/>
  <c r="F56" i="48"/>
  <c r="F5" i="46"/>
  <c r="F6" i="46"/>
  <c r="F7" i="46"/>
  <c r="F8" i="46"/>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4" i="48"/>
  <c r="F4" i="46"/>
  <c r="F2" i="46" s="1"/>
  <c r="D21" i="45" s="1"/>
  <c r="F2" i="48"/>
  <c r="D22" i="45" s="1"/>
  <c r="F16" i="41"/>
  <c r="F71" i="10"/>
  <c r="F63" i="10" s="1"/>
  <c r="L16" i="38" s="1"/>
  <c r="F19" i="43"/>
  <c r="F20" i="43"/>
  <c r="F9" i="43"/>
  <c r="F9" i="42"/>
  <c r="F11" i="4"/>
  <c r="A9" i="38"/>
  <c r="A8" i="38"/>
  <c r="A7" i="38"/>
  <c r="F11" i="10" l="1"/>
  <c r="L14" i="38" s="1"/>
  <c r="F8" i="42"/>
  <c r="I14" i="38" s="1"/>
  <c r="I18" i="38" s="1"/>
  <c r="D16" i="45" s="1"/>
  <c r="L18" i="38"/>
  <c r="D19" i="45" s="1"/>
  <c r="X89" i="37"/>
  <c r="Y89" i="37" s="1"/>
  <c r="C90" i="37" s="1"/>
  <c r="F90" i="37" s="1"/>
  <c r="F79" i="37" s="1"/>
  <c r="E14" i="38" s="1"/>
  <c r="M81" i="37"/>
  <c r="N81" i="37" s="1"/>
  <c r="O81" i="37" s="1"/>
  <c r="C73" i="37"/>
  <c r="F73" i="37" s="1"/>
  <c r="F14" i="37" s="1"/>
  <c r="E13" i="38" s="1"/>
  <c r="N39" i="37"/>
  <c r="O39" i="37" s="1"/>
  <c r="P39" i="37" s="1"/>
  <c r="M18" i="38"/>
  <c r="D20" i="45" s="1"/>
  <c r="H18" i="38"/>
  <c r="D15" i="45" s="1"/>
  <c r="J18" i="38"/>
  <c r="D17" i="45" s="1"/>
  <c r="K18" i="38"/>
  <c r="D18" i="45" s="1"/>
  <c r="G18" i="38"/>
  <c r="D14" i="45" s="1"/>
  <c r="F18" i="38"/>
  <c r="D13" i="45" s="1"/>
  <c r="D18" i="38"/>
  <c r="D11" i="45" s="1"/>
  <c r="E18" i="38" l="1"/>
  <c r="D12" i="45" s="1"/>
  <c r="D27" i="45" s="1"/>
  <c r="D28" i="45" s="1"/>
  <c r="D29" i="45" s="1"/>
</calcChain>
</file>

<file path=xl/sharedStrings.xml><?xml version="1.0" encoding="utf-8"?>
<sst xmlns="http://schemas.openxmlformats.org/spreadsheetml/2006/main" count="1390" uniqueCount="321">
  <si>
    <t>Reinforcement</t>
  </si>
  <si>
    <t>Formwork</t>
  </si>
  <si>
    <t xml:space="preserve">Steel ring bars  6mm dia </t>
  </si>
  <si>
    <t xml:space="preserve">Steel deformed bars, 12mm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</si>
  <si>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</si>
  <si>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</si>
  <si>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</si>
  <si>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</si>
  <si>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</si>
  <si>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</si>
  <si>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</si>
  <si>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</si>
  <si>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</si>
  <si>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</si>
  <si>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</si>
  <si>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</si>
  <si>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</si>
  <si>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</si>
  <si>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</si>
  <si>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</si>
  <si>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</si>
  <si>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</si>
  <si>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</si>
  <si>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</si>
  <si>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item</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</si>
  <si>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</si>
  <si>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</si>
  <si>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</si>
  <si>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</si>
  <si>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</si>
  <si>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</si>
  <si>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</si>
  <si>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</si>
  <si>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</si>
  <si>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</si>
  <si>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</si>
  <si>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</si>
  <si>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</si>
  <si>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</si>
  <si>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</si>
  <si>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</si>
  <si>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</si>
  <si>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</si>
  <si>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</si>
  <si>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</si>
  <si>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</si>
  <si>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</si>
  <si>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</si>
  <si>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</si>
  <si>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</si>
  <si>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</si>
  <si>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</si>
  <si>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</si>
  <si>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</si>
  <si>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</si>
  <si>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</si>
  <si>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</si>
  <si>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</si>
  <si>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</si>
  <si>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</si>
  <si>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</si>
  <si>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</si>
  <si>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</si>
  <si>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</si>
  <si>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</si>
  <si>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</si>
  <si>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</si>
  <si>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</si>
  <si>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</si>
  <si>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</si>
  <si>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</si>
  <si>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</si>
  <si>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</si>
  <si>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</si>
  <si>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</si>
  <si>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</si>
  <si>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</si>
  <si>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</si>
  <si>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</si>
  <si>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</si>
  <si>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</si>
  <si>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</si>
  <si>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</si>
  <si>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</si>
  <si>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</si>
  <si>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</si>
  <si>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</si>
  <si>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</si>
  <si>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</si>
  <si>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</si>
  <si>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</si>
  <si>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</si>
  <si>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</si>
  <si>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</si>
  <si>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</si>
  <si>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</si>
  <si>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</si>
  <si>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</si>
  <si>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</si>
  <si>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</si>
  <si>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</si>
  <si>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</si>
  <si>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</si>
  <si>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</si>
  <si>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</si>
  <si>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</si>
  <si>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</si>
  <si>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</si>
  <si>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</si>
  <si>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</si>
  <si>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10</t>
  </si>
  <si>
    <t>FOUNDATION</t>
  </si>
  <si>
    <t>TOTAL</t>
  </si>
  <si>
    <t>PAINTING WORKS</t>
  </si>
  <si>
    <t>m2</t>
  </si>
  <si>
    <t>D1</t>
  </si>
  <si>
    <t>D2</t>
  </si>
  <si>
    <t>W1</t>
  </si>
  <si>
    <t>MECHANICAL SYSTEMS</t>
  </si>
  <si>
    <t>Mechanical Systems</t>
  </si>
  <si>
    <t>BILL NO 11</t>
  </si>
  <si>
    <t xml:space="preserve"> RATE</t>
  </si>
  <si>
    <t>Concrete</t>
  </si>
  <si>
    <t xml:space="preserve">Concrete </t>
  </si>
  <si>
    <t>Item</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</si>
  <si>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</si>
  <si>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</si>
  <si>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</si>
  <si>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</si>
  <si>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</si>
  <si>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</si>
  <si>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</si>
  <si>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</si>
  <si>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</si>
  <si>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</si>
  <si>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</si>
  <si>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</si>
  <si>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Ceilings and exposed slab</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</si>
  <si>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</si>
  <si>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</si>
  <si>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</si>
  <si>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 xml:space="preserve"> BILL NO</t>
  </si>
  <si>
    <t>AMOUNT (MRF)</t>
  </si>
  <si>
    <t>MASONARY AND PLASTERING</t>
  </si>
  <si>
    <t>HYDRAULICS &amp; DRAINAGE</t>
  </si>
  <si>
    <t>ELECTRCIAL INSTALATIONS</t>
  </si>
  <si>
    <t>PROJECT VALUE TOTAL</t>
  </si>
  <si>
    <t>GST 6%</t>
  </si>
  <si>
    <t>GRAND SUMMARY</t>
  </si>
  <si>
    <t>GENERAL SUMMARY</t>
  </si>
  <si>
    <t>WORKS BELOW FROUND</t>
  </si>
  <si>
    <t>Rates shall include for: levelling, grading, trimming, compacting to faces of excavation, keep sides plumb, backfilling, consolidating and disposing surplus soil</t>
  </si>
  <si>
    <t>DURATION (DAYS)</t>
  </si>
  <si>
    <r>
      <t>m</t>
    </r>
    <r>
      <rPr>
        <vertAlign val="superscript"/>
        <sz val="9"/>
        <rFont val="Verdana"/>
        <family val="2"/>
      </rPr>
      <t>3</t>
    </r>
  </si>
  <si>
    <t>Polythene sheet</t>
  </si>
  <si>
    <t>Gate Valve</t>
  </si>
  <si>
    <t>Complete Rainwater Drainage pipework, required trays, chains and ducting as given in the drawing</t>
  </si>
  <si>
    <t>Kg</t>
  </si>
  <si>
    <t>600x600 homogenous floor tiles fixed with tile adhesive</t>
  </si>
  <si>
    <t>300x300 homogenous non skid floor tiles fixed with water proof tile adhesive</t>
  </si>
  <si>
    <t>Floor Drain</t>
  </si>
  <si>
    <t>Gully Trap</t>
  </si>
  <si>
    <t>Bidet Shower</t>
  </si>
  <si>
    <t>13A Power Socket</t>
  </si>
  <si>
    <t>13A Twin Socket</t>
  </si>
  <si>
    <t>15A Switched Socket at High Level</t>
  </si>
  <si>
    <t>Distribution Board</t>
  </si>
  <si>
    <t>Emergency Light</t>
  </si>
  <si>
    <t>Recessed Ceiling Light (12W)</t>
  </si>
  <si>
    <t>Light Switch (1 Gang )</t>
  </si>
  <si>
    <t>Light Switch (2 Gang )</t>
  </si>
  <si>
    <t>Light Switch (3 Gang )</t>
  </si>
  <si>
    <t>Ground Floor</t>
  </si>
  <si>
    <t>Ceilng works</t>
  </si>
  <si>
    <t>Allow for site protection, site supervisors, hire of machinery and equipment</t>
  </si>
  <si>
    <t>General Notes</t>
  </si>
  <si>
    <t>g</t>
  </si>
  <si>
    <t>END OF BILL NO 01:  CARRIED OVER TO GENERAL SUMMARY</t>
  </si>
  <si>
    <t>END OF BILL NO 02:  CARRIED OVER TO GENERAL SUMMARY</t>
  </si>
  <si>
    <t>END OF BILL NO 03: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</si>
  <si>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</si>
  <si>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</si>
  <si>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</si>
  <si>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</si>
  <si>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</si>
  <si>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</si>
  <si>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11:  CARRIED OVER TO GENERAL SUMMARY</t>
  </si>
  <si>
    <t>END OF BILL NO 12:  CARRIED OVER TO GENERAL SUMMARY</t>
  </si>
  <si>
    <t>Running Internal fresh water pipes followed from Shut-off valves to all Tiolets, Kitchens &amp; Laundrys which reduces from 25mmØ to 20mmØ and finally 16mmØ to the outlet fixtures or mixer as given in the detail drawings</t>
  </si>
  <si>
    <t>Cabling for internet and medianet</t>
  </si>
  <si>
    <t>Main Electrical Connection</t>
  </si>
  <si>
    <t>END OF BILL NO 13:  CARRIED OVER TO GENERAL SUMMARY</t>
  </si>
  <si>
    <t>Additions</t>
  </si>
  <si>
    <t>Omissions</t>
  </si>
  <si>
    <t>END OF BILL NO 14:  CARRIED OVER TO GENERAL SUMMARY</t>
  </si>
  <si>
    <t>ADDITIONS</t>
  </si>
  <si>
    <t>OMISSIONS</t>
  </si>
  <si>
    <t xml:space="preserve">GRAND TOTAL </t>
  </si>
  <si>
    <t>Re-bars</t>
  </si>
  <si>
    <t>H</t>
  </si>
  <si>
    <t>w</t>
  </si>
  <si>
    <t>V</t>
  </si>
  <si>
    <t>FW</t>
  </si>
  <si>
    <t>Bar size</t>
  </si>
  <si>
    <t>l</t>
  </si>
  <si>
    <t>KG</t>
  </si>
  <si>
    <t>R6</t>
  </si>
  <si>
    <t>Reps</t>
  </si>
  <si>
    <t>Distance</t>
  </si>
  <si>
    <t>Nos</t>
  </si>
  <si>
    <t>L</t>
  </si>
  <si>
    <t>C1</t>
  </si>
  <si>
    <t>kg</t>
  </si>
  <si>
    <t>Pad footing F1</t>
  </si>
  <si>
    <t>Complete waste water Discharge pipework, required trays and ducting as given in the drawing</t>
  </si>
  <si>
    <t>W2</t>
  </si>
  <si>
    <t>Excavation, upto 0.75m</t>
  </si>
  <si>
    <t>Excavation, upto 0.375m for foundation beam</t>
  </si>
  <si>
    <t>v</t>
  </si>
  <si>
    <t>re-bars</t>
  </si>
  <si>
    <t>bar size</t>
  </si>
  <si>
    <t>bar l</t>
  </si>
  <si>
    <t>fw</t>
  </si>
  <si>
    <t>Paint on Walls</t>
  </si>
  <si>
    <t>Manhole</t>
  </si>
  <si>
    <t>Wall Tap</t>
  </si>
  <si>
    <t>Ceiling Mounted Exhaust Fan</t>
  </si>
  <si>
    <t>BILL NO 09</t>
  </si>
  <si>
    <t>Ceiling Light (12W)</t>
  </si>
  <si>
    <t>Light Switch (4 Gang )</t>
  </si>
  <si>
    <t>15A Socket In Polycarbonate Box</t>
  </si>
  <si>
    <t xml:space="preserve">50mm thick Lean concrete </t>
  </si>
  <si>
    <t xml:space="preserve"> Ground slab, 100mm thickness</t>
  </si>
  <si>
    <t>Excavation, upto 1.3m for pad footing</t>
  </si>
  <si>
    <t xml:space="preserve">Steel deformed bars, 16 mm dia </t>
  </si>
  <si>
    <t>RC Wall Up toground level</t>
  </si>
  <si>
    <t xml:space="preserve">Steel deformed bars, 20mm dia </t>
  </si>
  <si>
    <t>C3a</t>
  </si>
  <si>
    <t>C3</t>
  </si>
  <si>
    <t>C2</t>
  </si>
  <si>
    <t>C2a</t>
  </si>
  <si>
    <t>C1a</t>
  </si>
  <si>
    <t>T8</t>
  </si>
  <si>
    <t xml:space="preserve">Steel deformed bars 8mm dia </t>
  </si>
  <si>
    <t xml:space="preserve"> FIRST FLOOR</t>
  </si>
  <si>
    <t>Floor slab, 150mm thickness</t>
  </si>
  <si>
    <t>Beam B1</t>
  </si>
  <si>
    <t>Beam B2</t>
  </si>
  <si>
    <t>Beam B3</t>
  </si>
  <si>
    <t>Beam B4</t>
  </si>
  <si>
    <t xml:space="preserve">Steel deformed bars, 25mm dia </t>
  </si>
  <si>
    <t xml:space="preserve">Steel deformed bars, 16mm dia </t>
  </si>
  <si>
    <t xml:space="preserve">Steel deformed bars  10mm dia </t>
  </si>
  <si>
    <t xml:space="preserve">Steel deformed bars  25mm dia </t>
  </si>
  <si>
    <t xml:space="preserve">Steel deformed bars, 10mm dia </t>
  </si>
  <si>
    <t xml:space="preserve">Steel deformed bars, 10mm </t>
  </si>
  <si>
    <t>Beam B5</t>
  </si>
  <si>
    <t>Beam B6</t>
  </si>
  <si>
    <t>Beam B7</t>
  </si>
  <si>
    <t>Beam B8</t>
  </si>
  <si>
    <t xml:space="preserve">500mm high RC Wall </t>
  </si>
  <si>
    <t>Stair Footings</t>
  </si>
  <si>
    <t>RC wall up to half landing</t>
  </si>
  <si>
    <t>MINARET</t>
  </si>
  <si>
    <t>C4</t>
  </si>
  <si>
    <t>Beam B9</t>
  </si>
  <si>
    <t>Minaret footing F2</t>
  </si>
  <si>
    <t>Stair railing as shown in drawing</t>
  </si>
  <si>
    <t>Minbar as per client requirement</t>
  </si>
  <si>
    <t>Roofing as per given drawing including truss and cladding works</t>
  </si>
  <si>
    <t>75*150mm Aluminum RHS as per detail 6</t>
  </si>
  <si>
    <t>Clading as per given drawing including fixing of supports</t>
  </si>
  <si>
    <t>Roof hatch</t>
  </si>
  <si>
    <t>300mm masanory wall with 20mm thick plaster on the exterior and 12 plaster on interior</t>
  </si>
  <si>
    <t>150mm masanory wall with 20mm thick plaster on the exterior and 12 plaster on interior</t>
  </si>
  <si>
    <t>150 mm thick boundary wall</t>
  </si>
  <si>
    <t>100 mm thick 1200 mm high  masanory wall with 20mm thick plaster on the exterior and 12 plaster on interior</t>
  </si>
  <si>
    <t>D3</t>
  </si>
  <si>
    <t>D4</t>
  </si>
  <si>
    <t>W3</t>
  </si>
  <si>
    <t>SD1</t>
  </si>
  <si>
    <t>Sd2</t>
  </si>
  <si>
    <t>FIRST FLOOR</t>
  </si>
  <si>
    <t>W4</t>
  </si>
  <si>
    <t>Top slab, 130mm thickness</t>
  </si>
  <si>
    <t>Floor Gully</t>
  </si>
  <si>
    <t>110Ø Rainwater Outlet Perforated Cowl</t>
  </si>
  <si>
    <t>Rodding Eye</t>
  </si>
  <si>
    <t>Water Closet (WC)</t>
  </si>
  <si>
    <t>FENAKA Meter</t>
  </si>
  <si>
    <t>Well Water Pump</t>
  </si>
  <si>
    <t>Foot Valve With Strainer</t>
  </si>
  <si>
    <t>Ceiling Light (18W)</t>
  </si>
  <si>
    <t>Decorative Chandelier</t>
  </si>
  <si>
    <t>Decorative Pendent Light</t>
  </si>
  <si>
    <t>Pendant Light (12W)</t>
  </si>
  <si>
    <t>Indoor Wall Light (18W)</t>
  </si>
  <si>
    <t>42 inch To 48 inch Ceiling Fan</t>
  </si>
  <si>
    <t>13A Twin Socket With USB Ports</t>
  </si>
  <si>
    <t>Indoor Speaker</t>
  </si>
  <si>
    <t>Outdoor Speaker</t>
  </si>
  <si>
    <t>Public Address Main Control with Accessories</t>
  </si>
  <si>
    <t>Wall Mount Fan</t>
  </si>
  <si>
    <t>m</t>
  </si>
  <si>
    <t>Water proff led strip on roof</t>
  </si>
  <si>
    <t>Water proff led strips above and below B9 beams on minaret</t>
  </si>
  <si>
    <t>Ceiling Suspended Air Conditioner (Multi Split 35,000 Btu/hr)</t>
  </si>
  <si>
    <t>Air Curtain (900mm)</t>
  </si>
  <si>
    <t>FIRST Floor</t>
  </si>
  <si>
    <t>BOQ FOR COMPLETE WORKS OF MASJID AL-HUDA AT GN. FUVAHMULAH</t>
  </si>
  <si>
    <t>Ground water well</t>
  </si>
  <si>
    <t>2.4m dia Ground water well as per site conditions</t>
  </si>
  <si>
    <t>SHS ladder as shown in the drawing</t>
  </si>
  <si>
    <t>MINISTRY OF ISLAMIC AFFAIRS</t>
  </si>
  <si>
    <t>Boundary Wall</t>
  </si>
  <si>
    <t>Foundation Beam TB</t>
  </si>
  <si>
    <t>Foundation Beam</t>
  </si>
  <si>
    <t>Capping Beam</t>
  </si>
  <si>
    <r>
      <t>4</t>
    </r>
    <r>
      <rPr>
        <vertAlign val="superscript"/>
        <sz val="11"/>
        <color theme="1"/>
        <rFont val="Calibri"/>
        <family val="2"/>
        <scheme val="minor"/>
      </rPr>
      <t>th</t>
    </r>
    <r>
      <rPr>
        <sz val="11"/>
        <color theme="1"/>
        <rFont val="Calibri"/>
        <family val="2"/>
        <scheme val="minor"/>
      </rPr>
      <t xml:space="preserve"> March 2020</t>
    </r>
  </si>
  <si>
    <t>Demolition and aite clearing</t>
  </si>
  <si>
    <t xml:space="preserve">Demolition of Existing Mosque and clear the including all debris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</si>
</sst>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_(* \(#,##0\);_(* &quot;-&quot;??_);_(@_)"/>
    <numFmt numFmtId="165" formatCode="0.0"/>
    <numFmt numFmtId="166" formatCode="\(0\)"/>
    <numFmt numFmtId="167" formatCode="_(* #,##0.00_);_(* \(#,##0.00\);_(* \-??_);_(@_)"/>
  </numFmts>
  <fonts count="36"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amily val="2"/>
    </font>
    <font>
      <sz val="11"/>
      <color rgb="FF0070C0"/>
      <name val="Calibri"/>
      <family val="2"/>
      <scheme val="minor"/>
    </font>
    <font>
      <sz val="11"/>
      <color theme="4" tint="-0.249977111117893"/>
      <name val="Calibri"/>
      <family val="2"/>
      <scheme val="minor"/>
    </font>
    <font>
      <sz val="10"/>
      <name val="MS Sans Serif"/>
      <family val="2"/>
    </font>
    <font>
      <vertAlign val="superscript"/>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53">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bottom/>
      <diagonal/>
    </border>
    <border>
      <left style="dashed">
        <color indexed="64"/>
      </left>
      <right/>
      <top/>
      <bottom/>
      <diagonal/>
    </border>
    <border>
      <left style="dashed">
        <color indexed="64"/>
      </left>
      <right style="thin">
        <color indexed="64"/>
      </right>
      <top/>
      <bottom/>
      <diagonal/>
    </border>
  </borders>
  <cellStyleXfs count="9">
    <xf numFmtId="0" fontId="0" fillId="0" borderId="0"/>
    <xf numFmtId="43" fontId="1" fillId="0" borderId="0" applyFont="0" applyFill="0" applyBorder="0" applyAlignment="0" applyProtection="0"/>
    <xf numFmtId="0" fontId="19" fillId="0" borderId="0"/>
    <xf numFmtId="43" fontId="19" fillId="0" borderId="0" applyFont="0" applyFill="0" applyBorder="0" applyAlignment="0" applyProtection="0"/>
    <xf numFmtId="0" fontId="22" fillId="0" borderId="0" applyNumberFormat="0" applyFill="0" applyBorder="0" applyAlignment="0" applyProtection="0"/>
    <xf numFmtId="167" fontId="19" fillId="0" borderId="0" applyFill="0" applyBorder="0" applyAlignment="0" applyProtection="0"/>
    <xf numFmtId="0" fontId="19" fillId="0" borderId="0"/>
    <xf numFmtId="0" fontId="31" fillId="0" borderId="0"/>
    <xf numFmtId="0" fontId="34" fillId="0" borderId="0"/>
  </cellStyleXfs>
  <cellXfs count="269">
    <xf numFmtId="0" fontId="0" fillId="0" borderId="0" xfId="0"/>
    <xf numFmtId="43" fontId="0" fillId="0" borderId="0" xfId="1" applyFont="1"/>
    <xf numFmtId="0" fontId="3" fillId="2" borderId="1" xfId="0" applyFont="1" applyFill="1" applyBorder="1" applyAlignment="1">
      <alignment vertical="top" wrapText="1"/>
    </xf>
    <xf numFmtId="43" fontId="0" fillId="0" borderId="0" xfId="0" applyNumberFormat="1"/>
    <xf numFmtId="0" fontId="2" fillId="0" borderId="0" xfId="0" applyFont="1"/>
    <xf numFmtId="0" fontId="4" fillId="3" borderId="2" xfId="0" applyFont="1" applyFill="1" applyBorder="1" applyAlignment="1">
      <alignment horizontal="right" vertical="center" wrapText="1"/>
    </xf>
    <xf numFmtId="43"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43"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43"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applyAlignment="1"/>
    <xf numFmtId="0" fontId="4" fillId="2" borderId="1" xfId="0" applyFont="1" applyFill="1" applyBorder="1" applyAlignment="1"/>
    <xf numFmtId="43" fontId="4" fillId="2" borderId="1" xfId="1" applyFont="1" applyFill="1" applyBorder="1" applyAlignment="1">
      <alignment horizontal="right"/>
    </xf>
    <xf numFmtId="43"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applyAlignment="1"/>
    <xf numFmtId="43" fontId="3" fillId="2" borderId="13" xfId="1" applyFont="1" applyFill="1" applyBorder="1" applyAlignment="1">
      <alignment horizontal="right"/>
    </xf>
    <xf numFmtId="43"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applyAlignment="1"/>
    <xf numFmtId="43" fontId="3" fillId="2" borderId="1" xfId="1" applyFont="1" applyFill="1" applyBorder="1" applyAlignment="1">
      <alignment horizontal="right"/>
    </xf>
    <xf numFmtId="43" fontId="3" fillId="2" borderId="11" xfId="1" applyFont="1" applyFill="1" applyBorder="1" applyAlignment="1">
      <alignment horizontal="right"/>
    </xf>
    <xf numFmtId="165" fontId="4" fillId="0" borderId="10" xfId="0" quotePrefix="1" applyNumberFormat="1" applyFont="1" applyFill="1" applyBorder="1" applyAlignment="1">
      <alignment horizontal="right" vertical="top"/>
    </xf>
    <xf numFmtId="2" fontId="3" fillId="2" borderId="1" xfId="0" applyNumberFormat="1" applyFont="1" applyFill="1" applyBorder="1" applyAlignment="1"/>
    <xf numFmtId="43" fontId="8" fillId="5" borderId="17" xfId="1" applyFont="1" applyFill="1" applyBorder="1" applyAlignment="1">
      <alignment horizontal="right"/>
    </xf>
    <xf numFmtId="1" fontId="3" fillId="2" borderId="1" xfId="0" applyNumberFormat="1" applyFont="1" applyFill="1" applyBorder="1" applyAlignment="1"/>
    <xf numFmtId="43" fontId="3" fillId="3" borderId="11" xfId="1" applyFont="1" applyFill="1" applyBorder="1" applyAlignment="1">
      <alignment horizontal="left"/>
    </xf>
    <xf numFmtId="0" fontId="9" fillId="0" borderId="10" xfId="0" applyFont="1" applyFill="1" applyBorder="1" applyAlignment="1">
      <alignment horizontal="right" vertical="top"/>
    </xf>
    <xf numFmtId="0" fontId="3" fillId="2" borderId="1" xfId="0" applyFont="1" applyFill="1" applyBorder="1" applyAlignment="1">
      <alignment horizontal="left" vertical="top" wrapText="1"/>
    </xf>
    <xf numFmtId="164" fontId="3" fillId="2" borderId="1" xfId="1" applyNumberFormat="1" applyFont="1" applyFill="1" applyBorder="1" applyAlignment="1"/>
    <xf numFmtId="43" fontId="3" fillId="2" borderId="1" xfId="1" applyFont="1" applyFill="1" applyBorder="1" applyAlignment="1">
      <alignment horizontal="right" vertical="top"/>
    </xf>
    <xf numFmtId="1" fontId="3" fillId="2" borderId="1" xfId="0" applyNumberFormat="1" applyFont="1" applyFill="1" applyBorder="1" applyAlignment="1">
      <alignment horizontal="right"/>
    </xf>
    <xf numFmtId="0" fontId="11" fillId="0" borderId="0" xfId="0" applyFont="1" applyFill="1" applyBorder="1"/>
    <xf numFmtId="43" fontId="11" fillId="0" borderId="0" xfId="1" applyFont="1" applyFill="1" applyBorder="1"/>
    <xf numFmtId="0" fontId="11" fillId="0" borderId="0" xfId="0" applyFont="1" applyFill="1" applyBorder="1" applyAlignment="1">
      <alignment vertical="top"/>
    </xf>
    <xf numFmtId="0" fontId="11" fillId="0" borderId="0" xfId="0" applyFont="1" applyFill="1" applyBorder="1" applyAlignment="1">
      <alignment vertical="top" wrapText="1"/>
    </xf>
    <xf numFmtId="0" fontId="12" fillId="2" borderId="0" xfId="0" applyFont="1" applyFill="1"/>
    <xf numFmtId="164" fontId="3" fillId="2" borderId="1" xfId="1" applyNumberFormat="1" applyFont="1" applyFill="1" applyBorder="1" applyAlignment="1">
      <alignment horizontal="right"/>
    </xf>
    <xf numFmtId="43" fontId="4" fillId="2" borderId="11" xfId="1" quotePrefix="1" applyFont="1" applyFill="1" applyBorder="1" applyAlignment="1">
      <alignment horizontal="right" vertical="top"/>
    </xf>
    <xf numFmtId="43"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applyBorder="1"/>
    <xf numFmtId="0" fontId="13" fillId="2" borderId="0" xfId="0" applyFont="1" applyFill="1" applyBorder="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applyFill="1" applyBorder="1"/>
    <xf numFmtId="43" fontId="14" fillId="0" borderId="0" xfId="1" applyFont="1" applyFill="1" applyBorder="1"/>
    <xf numFmtId="43"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5" fontId="4" fillId="2" borderId="10" xfId="0" quotePrefix="1" applyNumberFormat="1" applyFont="1" applyFill="1" applyBorder="1" applyAlignment="1">
      <alignment horizontal="right" vertical="top"/>
    </xf>
    <xf numFmtId="0" fontId="3" fillId="2" borderId="1" xfId="0" applyFont="1" applyFill="1" applyBorder="1" applyAlignment="1">
      <alignment horizontal="left" wrapText="1"/>
    </xf>
    <xf numFmtId="43" fontId="4" fillId="4" borderId="9" xfId="1" applyFont="1" applyFill="1" applyBorder="1" applyAlignment="1">
      <alignment horizontal="right"/>
    </xf>
    <xf numFmtId="1" fontId="4" fillId="0" borderId="10" xfId="0" applyNumberFormat="1" applyFont="1" applyFill="1" applyBorder="1" applyAlignment="1">
      <alignment horizontal="right" vertical="top"/>
    </xf>
    <xf numFmtId="0" fontId="3" fillId="0" borderId="10" xfId="0" applyFont="1" applyFill="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43"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6" fontId="3" fillId="2" borderId="10" xfId="1" quotePrefix="1" applyNumberFormat="1" applyFont="1" applyFill="1" applyBorder="1" applyAlignment="1">
      <alignment horizontal="right" vertical="center"/>
    </xf>
    <xf numFmtId="0" fontId="3" fillId="3" borderId="1" xfId="0" applyFont="1" applyFill="1" applyBorder="1" applyAlignment="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43" fontId="4" fillId="3" borderId="11" xfId="1" applyFont="1" applyFill="1" applyBorder="1" applyAlignment="1">
      <alignment horizontal="right"/>
    </xf>
    <xf numFmtId="43" fontId="4" fillId="3" borderId="1" xfId="1" applyFont="1" applyFill="1" applyBorder="1" applyAlignment="1">
      <alignment horizontal="right"/>
    </xf>
    <xf numFmtId="2" fontId="3" fillId="3" borderId="1" xfId="0" applyNumberFormat="1" applyFont="1" applyFill="1" applyBorder="1" applyAlignment="1"/>
    <xf numFmtId="0" fontId="4" fillId="2" borderId="10" xfId="1" quotePrefix="1" applyNumberFormat="1" applyFont="1" applyFill="1" applyBorder="1" applyAlignment="1">
      <alignment horizontal="right" vertical="center" wrapText="1"/>
    </xf>
    <xf numFmtId="0" fontId="3" fillId="3" borderId="1" xfId="0" applyFont="1" applyFill="1" applyBorder="1" applyAlignment="1">
      <alignment horizontal="right"/>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43" fontId="4" fillId="2" borderId="19" xfId="1" applyFont="1" applyFill="1" applyBorder="1" applyAlignment="1">
      <alignment horizontal="right"/>
    </xf>
    <xf numFmtId="43" fontId="4" fillId="2" borderId="20" xfId="1" applyFont="1" applyFill="1" applyBorder="1" applyAlignment="1">
      <alignment horizontal="right"/>
    </xf>
    <xf numFmtId="2" fontId="3" fillId="2" borderId="20" xfId="0" applyNumberFormat="1" applyFont="1" applyFill="1" applyBorder="1" applyAlignment="1">
      <alignment vertical="top"/>
    </xf>
    <xf numFmtId="2" fontId="3" fillId="2" borderId="20" xfId="0" applyNumberFormat="1" applyFont="1" applyFill="1" applyBorder="1" applyAlignment="1">
      <alignment horizontal="center" vertical="top"/>
    </xf>
    <xf numFmtId="165" fontId="4" fillId="2" borderId="21" xfId="0" quotePrefix="1" applyNumberFormat="1" applyFont="1" applyFill="1" applyBorder="1" applyAlignment="1">
      <alignment horizontal="right" vertical="top"/>
    </xf>
    <xf numFmtId="0" fontId="4" fillId="2" borderId="20"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Fill="1" applyBorder="1" applyAlignment="1">
      <alignment wrapText="1"/>
    </xf>
    <xf numFmtId="0" fontId="2" fillId="0" borderId="22" xfId="0" applyFont="1" applyBorder="1"/>
    <xf numFmtId="0" fontId="0" fillId="0" borderId="0" xfId="0" applyAlignment="1">
      <alignment horizontal="left"/>
    </xf>
    <xf numFmtId="0" fontId="15" fillId="0" borderId="0" xfId="0" applyFont="1" applyAlignment="1">
      <alignment horizontal="left"/>
    </xf>
    <xf numFmtId="0" fontId="0" fillId="0" borderId="0" xfId="0" applyAlignment="1"/>
    <xf numFmtId="0" fontId="17" fillId="0" borderId="0" xfId="0" applyFont="1" applyAlignment="1"/>
    <xf numFmtId="0" fontId="18" fillId="0" borderId="0" xfId="0" applyFont="1" applyAlignment="1"/>
    <xf numFmtId="2" fontId="3" fillId="0" borderId="1" xfId="0" applyNumberFormat="1" applyFont="1" applyFill="1" applyBorder="1" applyAlignment="1"/>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Fill="1" applyBorder="1" applyAlignment="1">
      <alignment horizontal="right" vertical="top"/>
    </xf>
    <xf numFmtId="43" fontId="3" fillId="2" borderId="1" xfId="1" applyFont="1" applyFill="1" applyBorder="1" applyAlignment="1"/>
    <xf numFmtId="0" fontId="0" fillId="0" borderId="0" xfId="0" applyBorder="1"/>
    <xf numFmtId="1" fontId="3" fillId="2" borderId="1" xfId="1" applyNumberFormat="1" applyFont="1" applyFill="1" applyBorder="1" applyAlignment="1"/>
    <xf numFmtId="0" fontId="19" fillId="0" borderId="0" xfId="6"/>
    <xf numFmtId="0" fontId="27" fillId="0" borderId="0" xfId="6" applyFont="1"/>
    <xf numFmtId="167" fontId="26" fillId="0" borderId="24" xfId="5" applyFont="1" applyFill="1" applyBorder="1" applyAlignment="1" applyProtection="1">
      <alignment horizontal="right" vertical="center" wrapText="1"/>
    </xf>
    <xf numFmtId="167" fontId="26" fillId="0" borderId="16" xfId="5" applyFont="1" applyFill="1" applyBorder="1" applyAlignment="1" applyProtection="1">
      <alignment horizontal="right" vertical="center" wrapText="1"/>
    </xf>
    <xf numFmtId="167" fontId="26" fillId="9" borderId="29" xfId="5" applyFont="1" applyFill="1" applyBorder="1" applyAlignment="1" applyProtection="1">
      <alignment horizontal="center" vertical="center" wrapText="1"/>
    </xf>
    <xf numFmtId="167" fontId="26" fillId="9" borderId="31" xfId="5" applyFont="1" applyFill="1" applyBorder="1" applyAlignment="1" applyProtection="1">
      <alignment horizontal="center" vertical="center" wrapText="1"/>
    </xf>
    <xf numFmtId="167" fontId="26" fillId="0" borderId="27" xfId="5" applyFont="1" applyFill="1" applyBorder="1" applyAlignment="1" applyProtection="1">
      <alignment horizontal="right" vertical="center"/>
    </xf>
    <xf numFmtId="167" fontId="26" fillId="0" borderId="26" xfId="5" applyFont="1" applyFill="1" applyBorder="1" applyAlignment="1" applyProtection="1">
      <alignment horizontal="right" vertical="center" wrapText="1"/>
    </xf>
    <xf numFmtId="0" fontId="0" fillId="0" borderId="32" xfId="0" applyBorder="1" applyAlignment="1"/>
    <xf numFmtId="0" fontId="0" fillId="0" borderId="30" xfId="0" applyBorder="1" applyAlignment="1"/>
    <xf numFmtId="167" fontId="26" fillId="0" borderId="23" xfId="5" applyFont="1" applyFill="1" applyBorder="1" applyAlignment="1" applyProtection="1">
      <alignment horizontal="right" vertical="center" wrapText="1"/>
    </xf>
    <xf numFmtId="167" fontId="26" fillId="0" borderId="34" xfId="5" applyFont="1" applyFill="1" applyBorder="1" applyAlignment="1" applyProtection="1">
      <alignment horizontal="right" vertical="center"/>
    </xf>
    <xf numFmtId="43" fontId="0" fillId="0" borderId="27" xfId="1" applyFont="1" applyBorder="1" applyAlignment="1"/>
    <xf numFmtId="2" fontId="0" fillId="0" borderId="0" xfId="0" applyNumberFormat="1"/>
    <xf numFmtId="0" fontId="0" fillId="10" borderId="0" xfId="0" applyFill="1"/>
    <xf numFmtId="0" fontId="0" fillId="0" borderId="0" xfId="0" applyFill="1"/>
    <xf numFmtId="0" fontId="0" fillId="0" borderId="18" xfId="0" applyBorder="1" applyAlignment="1">
      <alignment wrapText="1"/>
    </xf>
    <xf numFmtId="0" fontId="3" fillId="0" borderId="1" xfId="0" applyFont="1" applyFill="1" applyBorder="1" applyAlignment="1">
      <alignment horizontal="left" vertical="top" wrapText="1"/>
    </xf>
    <xf numFmtId="165" fontId="4" fillId="2" borderId="10" xfId="1" applyNumberFormat="1" applyFont="1" applyFill="1" applyBorder="1" applyAlignment="1">
      <alignment horizontal="right" vertical="top" wrapText="1"/>
    </xf>
    <xf numFmtId="165" fontId="3" fillId="2" borderId="10" xfId="1" applyNumberFormat="1" applyFont="1" applyFill="1" applyBorder="1" applyAlignment="1">
      <alignment horizontal="right" vertical="top" wrapText="1"/>
    </xf>
    <xf numFmtId="165" fontId="4" fillId="0" borderId="10" xfId="1" quotePrefix="1" applyNumberFormat="1" applyFont="1" applyFill="1" applyBorder="1" applyAlignment="1">
      <alignment horizontal="right" vertical="top" wrapText="1"/>
    </xf>
    <xf numFmtId="43" fontId="3" fillId="2" borderId="1" xfId="1" applyNumberFormat="1" applyFont="1" applyFill="1" applyBorder="1" applyAlignment="1"/>
    <xf numFmtId="167" fontId="29" fillId="9" borderId="29" xfId="5" applyFont="1" applyFill="1" applyBorder="1" applyAlignment="1" applyProtection="1">
      <alignment horizontal="center" vertical="center" wrapText="1"/>
    </xf>
    <xf numFmtId="167" fontId="29" fillId="9" borderId="37" xfId="5" applyFont="1" applyFill="1" applyBorder="1" applyAlignment="1" applyProtection="1">
      <alignment horizontal="center" vertical="center" wrapText="1"/>
    </xf>
    <xf numFmtId="165" fontId="28" fillId="9" borderId="29" xfId="5" applyNumberFormat="1" applyFont="1" applyFill="1" applyBorder="1" applyAlignment="1" applyProtection="1">
      <alignment horizontal="center" vertical="center"/>
    </xf>
    <xf numFmtId="167" fontId="28" fillId="9" borderId="31" xfId="5" applyFont="1" applyFill="1" applyBorder="1" applyAlignment="1" applyProtection="1">
      <alignment vertical="center"/>
    </xf>
    <xf numFmtId="43" fontId="0" fillId="0" borderId="32" xfId="1" applyFont="1" applyBorder="1" applyAlignment="1"/>
    <xf numFmtId="165" fontId="26" fillId="0" borderId="33" xfId="5" applyNumberFormat="1" applyFont="1" applyFill="1" applyBorder="1" applyAlignment="1" applyProtection="1">
      <alignment horizontal="right" vertical="center"/>
    </xf>
    <xf numFmtId="165" fontId="26" fillId="0" borderId="35" xfId="5" applyNumberFormat="1" applyFont="1" applyFill="1" applyBorder="1" applyAlignment="1" applyProtection="1">
      <alignment horizontal="right" vertical="center"/>
    </xf>
    <xf numFmtId="165" fontId="26" fillId="0" borderId="28"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0" borderId="30" xfId="0" applyBorder="1"/>
    <xf numFmtId="0" fontId="0" fillId="8" borderId="30" xfId="0" applyFill="1" applyBorder="1"/>
    <xf numFmtId="0" fontId="0" fillId="8" borderId="0" xfId="0" applyFill="1" applyBorder="1"/>
    <xf numFmtId="0" fontId="0" fillId="8" borderId="32" xfId="0" applyFill="1" applyBorder="1" applyAlignment="1">
      <alignment horizontal="right"/>
    </xf>
    <xf numFmtId="0" fontId="0" fillId="0" borderId="35" xfId="0" applyBorder="1"/>
    <xf numFmtId="43" fontId="7" fillId="6" borderId="9" xfId="1" applyFont="1" applyFill="1" applyBorder="1" applyAlignment="1">
      <alignment horizontal="left" vertical="top" wrapText="1"/>
    </xf>
    <xf numFmtId="0" fontId="0" fillId="8" borderId="35" xfId="0" applyFill="1" applyBorder="1"/>
    <xf numFmtId="0" fontId="0" fillId="8" borderId="26" xfId="0" applyFill="1" applyBorder="1"/>
    <xf numFmtId="0" fontId="0" fillId="8" borderId="34" xfId="0" applyFill="1" applyBorder="1" applyAlignment="1">
      <alignment horizontal="right"/>
    </xf>
    <xf numFmtId="43" fontId="3" fillId="3" borderId="14" xfId="1" applyFont="1" applyFill="1" applyBorder="1" applyAlignment="1">
      <alignment horizontal="left"/>
    </xf>
    <xf numFmtId="0" fontId="3" fillId="0" borderId="38" xfId="1" applyNumberFormat="1" applyFont="1" applyFill="1" applyBorder="1" applyAlignment="1">
      <alignment horizontal="right" vertical="top" wrapText="1"/>
    </xf>
    <xf numFmtId="0" fontId="3" fillId="2" borderId="39" xfId="0" applyFont="1" applyFill="1" applyBorder="1" applyAlignment="1">
      <alignment vertical="top" wrapText="1"/>
    </xf>
    <xf numFmtId="2" fontId="3" fillId="2" borderId="39" xfId="0" applyNumberFormat="1" applyFont="1" applyFill="1" applyBorder="1" applyAlignment="1"/>
    <xf numFmtId="0" fontId="3" fillId="2" borderId="39" xfId="0" applyFont="1" applyFill="1" applyBorder="1" applyAlignment="1"/>
    <xf numFmtId="43" fontId="3" fillId="2" borderId="39" xfId="1" applyFont="1" applyFill="1" applyBorder="1" applyAlignment="1">
      <alignment horizontal="right"/>
    </xf>
    <xf numFmtId="43" fontId="3" fillId="2" borderId="40" xfId="1" applyFont="1" applyFill="1" applyBorder="1" applyAlignment="1">
      <alignment horizontal="right"/>
    </xf>
    <xf numFmtId="43" fontId="7" fillId="6" borderId="43" xfId="1" applyFont="1" applyFill="1" applyBorder="1" applyAlignment="1">
      <alignment horizontal="left" vertical="top" wrapText="1"/>
    </xf>
    <xf numFmtId="1" fontId="4" fillId="0" borderId="38" xfId="0" applyNumberFormat="1" applyFont="1" applyFill="1" applyBorder="1" applyAlignment="1">
      <alignment horizontal="right" vertical="top"/>
    </xf>
    <xf numFmtId="0" fontId="3" fillId="2" borderId="39" xfId="0" applyFont="1" applyFill="1" applyBorder="1" applyAlignment="1">
      <alignment horizontal="left" vertical="top" wrapText="1"/>
    </xf>
    <xf numFmtId="1" fontId="3" fillId="2" borderId="39" xfId="0" applyNumberFormat="1" applyFont="1" applyFill="1" applyBorder="1" applyAlignment="1"/>
    <xf numFmtId="43" fontId="0" fillId="0" borderId="34" xfId="1" applyFont="1" applyBorder="1"/>
    <xf numFmtId="0" fontId="3" fillId="2" borderId="10" xfId="0" applyFont="1" applyFill="1" applyBorder="1" applyAlignment="1"/>
    <xf numFmtId="2" fontId="4" fillId="2" borderId="39" xfId="0" applyNumberFormat="1" applyFont="1" applyFill="1" applyBorder="1" applyAlignment="1"/>
    <xf numFmtId="0" fontId="4" fillId="2" borderId="39" xfId="0" applyFont="1" applyFill="1" applyBorder="1" applyAlignment="1"/>
    <xf numFmtId="43" fontId="4" fillId="2" borderId="39" xfId="1" applyFont="1" applyFill="1" applyBorder="1" applyAlignment="1">
      <alignment horizontal="right"/>
    </xf>
    <xf numFmtId="43" fontId="4" fillId="2" borderId="40"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applyAlignment="1"/>
    <xf numFmtId="0" fontId="4" fillId="2" borderId="13" xfId="0" applyFont="1" applyFill="1" applyBorder="1" applyAlignment="1"/>
    <xf numFmtId="43" fontId="4" fillId="2" borderId="13" xfId="1" applyFont="1" applyFill="1" applyBorder="1" applyAlignment="1">
      <alignment horizontal="right"/>
    </xf>
    <xf numFmtId="43" fontId="4" fillId="2" borderId="14" xfId="1" applyFont="1" applyFill="1" applyBorder="1" applyAlignment="1">
      <alignment horizontal="right"/>
    </xf>
    <xf numFmtId="0" fontId="9" fillId="0" borderId="21" xfId="0" applyNumberFormat="1" applyFont="1" applyFill="1" applyBorder="1" applyAlignment="1">
      <alignment horizontal="right" vertical="top"/>
    </xf>
    <xf numFmtId="0" fontId="3" fillId="2" borderId="20" xfId="0" quotePrefix="1" applyFont="1" applyFill="1" applyBorder="1" applyAlignment="1">
      <alignment horizontal="left" vertical="top" wrapText="1"/>
    </xf>
    <xf numFmtId="1" fontId="3" fillId="2" borderId="20" xfId="0" applyNumberFormat="1" applyFont="1" applyFill="1" applyBorder="1" applyAlignment="1"/>
    <xf numFmtId="0" fontId="3" fillId="2" borderId="20" xfId="0" applyFont="1" applyFill="1" applyBorder="1" applyAlignment="1"/>
    <xf numFmtId="43" fontId="3" fillId="2" borderId="20" xfId="1" applyFont="1" applyFill="1" applyBorder="1" applyAlignment="1">
      <alignment horizontal="right"/>
    </xf>
    <xf numFmtId="43" fontId="3" fillId="2" borderId="19" xfId="1" applyFont="1" applyFill="1" applyBorder="1" applyAlignment="1">
      <alignment horizontal="right"/>
    </xf>
    <xf numFmtId="165" fontId="7" fillId="5" borderId="44" xfId="0" quotePrefix="1" applyNumberFormat="1" applyFont="1" applyFill="1" applyBorder="1" applyAlignment="1">
      <alignment horizontal="right" vertical="top"/>
    </xf>
    <xf numFmtId="164" fontId="3" fillId="2" borderId="20" xfId="1" applyNumberFormat="1" applyFont="1" applyFill="1" applyBorder="1" applyAlignment="1">
      <alignment horizontal="right"/>
    </xf>
    <xf numFmtId="43" fontId="3" fillId="3" borderId="20" xfId="1" applyFont="1" applyFill="1" applyBorder="1" applyAlignment="1">
      <alignment horizontal="left"/>
    </xf>
    <xf numFmtId="43" fontId="3" fillId="3" borderId="19" xfId="1" applyFont="1" applyFill="1" applyBorder="1" applyAlignment="1">
      <alignment horizontal="left"/>
    </xf>
    <xf numFmtId="0" fontId="4" fillId="8" borderId="45" xfId="0" applyFont="1" applyFill="1" applyBorder="1" applyAlignment="1">
      <alignment horizontal="left" vertical="top" wrapText="1"/>
    </xf>
    <xf numFmtId="164" fontId="3" fillId="8" borderId="45" xfId="1" applyNumberFormat="1" applyFont="1" applyFill="1" applyBorder="1" applyAlignment="1">
      <alignment horizontal="right"/>
    </xf>
    <xf numFmtId="0" fontId="3" fillId="8" borderId="45" xfId="0" applyFont="1" applyFill="1" applyBorder="1" applyAlignment="1"/>
    <xf numFmtId="43" fontId="3" fillId="8" borderId="45" xfId="1" applyFont="1" applyFill="1" applyBorder="1" applyAlignment="1">
      <alignment horizontal="left"/>
    </xf>
    <xf numFmtId="43" fontId="3" fillId="8" borderId="17" xfId="1" applyFont="1" applyFill="1" applyBorder="1" applyAlignment="1">
      <alignment horizontal="left"/>
    </xf>
    <xf numFmtId="1" fontId="3" fillId="2" borderId="39" xfId="0" applyNumberFormat="1" applyFont="1" applyFill="1" applyBorder="1" applyAlignment="1">
      <alignment horizontal="right"/>
    </xf>
    <xf numFmtId="43" fontId="4" fillId="2" borderId="39" xfId="1" quotePrefix="1" applyFont="1" applyFill="1" applyBorder="1" applyAlignment="1">
      <alignment horizontal="right" vertical="top"/>
    </xf>
    <xf numFmtId="43" fontId="4" fillId="2" borderId="40" xfId="1" quotePrefix="1" applyFont="1" applyFill="1" applyBorder="1" applyAlignment="1">
      <alignment horizontal="right" vertical="top"/>
    </xf>
    <xf numFmtId="0" fontId="16" fillId="0" borderId="46" xfId="0" applyFont="1" applyBorder="1"/>
    <xf numFmtId="43" fontId="16" fillId="0" borderId="47" xfId="1" applyFont="1" applyBorder="1"/>
    <xf numFmtId="0" fontId="2" fillId="0" borderId="46" xfId="0" applyFont="1" applyBorder="1"/>
    <xf numFmtId="43" fontId="0" fillId="0" borderId="26" xfId="1" applyFont="1" applyBorder="1"/>
    <xf numFmtId="0" fontId="2" fillId="0" borderId="28" xfId="0" applyFont="1" applyBorder="1" applyAlignment="1">
      <alignment wrapText="1"/>
    </xf>
    <xf numFmtId="43" fontId="24" fillId="0" borderId="0" xfId="1" applyFont="1" applyFill="1" applyBorder="1"/>
    <xf numFmtId="43" fontId="0" fillId="0" borderId="0" xfId="1" applyFont="1" applyBorder="1"/>
    <xf numFmtId="43" fontId="0" fillId="0" borderId="32" xfId="1" applyFont="1" applyBorder="1"/>
    <xf numFmtId="43" fontId="16" fillId="0" borderId="49" xfId="1" applyFont="1" applyBorder="1"/>
    <xf numFmtId="165" fontId="3" fillId="2" borderId="21" xfId="1" applyNumberFormat="1" applyFont="1" applyFill="1" applyBorder="1" applyAlignment="1">
      <alignment horizontal="right" vertical="top" wrapText="1"/>
    </xf>
    <xf numFmtId="165" fontId="3" fillId="5" borderId="5" xfId="1" applyNumberFormat="1" applyFont="1" applyFill="1" applyBorder="1" applyAlignment="1">
      <alignment horizontal="right" vertical="top" wrapText="1"/>
    </xf>
    <xf numFmtId="165" fontId="7" fillId="5" borderId="5" xfId="1" applyNumberFormat="1" applyFont="1" applyFill="1" applyBorder="1" applyAlignment="1">
      <alignment horizontal="right" vertical="top" wrapText="1"/>
    </xf>
    <xf numFmtId="0" fontId="3" fillId="0" borderId="21" xfId="0" applyFont="1" applyFill="1" applyBorder="1" applyAlignment="1">
      <alignment vertical="top"/>
    </xf>
    <xf numFmtId="0" fontId="3" fillId="2" borderId="20" xfId="0" applyFont="1" applyFill="1" applyBorder="1" applyAlignment="1">
      <alignment vertical="top" wrapText="1"/>
    </xf>
    <xf numFmtId="2" fontId="3" fillId="2" borderId="20" xfId="1" applyNumberFormat="1" applyFont="1" applyFill="1" applyBorder="1" applyAlignment="1"/>
    <xf numFmtId="1" fontId="4" fillId="0" borderId="21" xfId="1" applyNumberFormat="1" applyFont="1" applyFill="1" applyBorder="1" applyAlignment="1">
      <alignment horizontal="right" vertical="top" wrapText="1"/>
    </xf>
    <xf numFmtId="0" fontId="4" fillId="2" borderId="20" xfId="0" applyFont="1" applyFill="1" applyBorder="1" applyAlignment="1"/>
    <xf numFmtId="165" fontId="4" fillId="0" borderId="12" xfId="0" quotePrefix="1" applyNumberFormat="1" applyFont="1" applyFill="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applyAlignment="1"/>
    <xf numFmtId="165" fontId="4" fillId="0" borderId="21" xfId="0" quotePrefix="1" applyNumberFormat="1" applyFont="1" applyFill="1" applyBorder="1" applyAlignment="1">
      <alignment horizontal="right" vertical="top"/>
    </xf>
    <xf numFmtId="2" fontId="3" fillId="2" borderId="20" xfId="0" applyNumberFormat="1" applyFont="1" applyFill="1" applyBorder="1" applyAlignment="1"/>
    <xf numFmtId="0" fontId="3" fillId="2" borderId="21" xfId="0" applyFont="1" applyFill="1" applyBorder="1" applyAlignment="1"/>
    <xf numFmtId="164" fontId="3" fillId="2" borderId="20" xfId="1" applyNumberFormat="1" applyFont="1" applyFill="1" applyBorder="1" applyAlignment="1"/>
    <xf numFmtId="165" fontId="3" fillId="0" borderId="21" xfId="0" quotePrefix="1" applyNumberFormat="1" applyFont="1" applyFill="1" applyBorder="1" applyAlignment="1">
      <alignment horizontal="right" vertical="top"/>
    </xf>
    <xf numFmtId="0" fontId="3" fillId="0" borderId="1" xfId="0" applyFont="1" applyFill="1" applyBorder="1" applyAlignment="1">
      <alignment vertical="top" wrapText="1"/>
    </xf>
    <xf numFmtId="0" fontId="3" fillId="0" borderId="50" xfId="0" applyFont="1" applyFill="1" applyBorder="1" applyAlignment="1">
      <alignment vertical="top"/>
    </xf>
    <xf numFmtId="43" fontId="3" fillId="3" borderId="52" xfId="1" applyFont="1" applyFill="1" applyBorder="1" applyAlignment="1">
      <alignment horizontal="left"/>
    </xf>
    <xf numFmtId="164" fontId="3" fillId="2" borderId="1" xfId="1" applyNumberFormat="1" applyFont="1" applyFill="1" applyBorder="1" applyAlignment="1">
      <alignment horizontal="right" vertical="top"/>
    </xf>
    <xf numFmtId="0" fontId="3" fillId="2" borderId="1" xfId="0" applyFont="1" applyFill="1" applyBorder="1" applyAlignment="1">
      <alignment vertical="top"/>
    </xf>
    <xf numFmtId="43" fontId="3" fillId="3" borderId="1" xfId="1" applyFont="1" applyFill="1" applyBorder="1" applyAlignment="1">
      <alignment horizontal="left" vertical="top"/>
    </xf>
    <xf numFmtId="0" fontId="23" fillId="0" borderId="48" xfId="0" applyFont="1" applyFill="1" applyBorder="1" applyAlignment="1">
      <alignment wrapText="1"/>
    </xf>
    <xf numFmtId="2" fontId="3" fillId="2" borderId="0" xfId="1" applyNumberFormat="1" applyFont="1" applyFill="1" applyBorder="1" applyAlignment="1"/>
    <xf numFmtId="43" fontId="0" fillId="0" borderId="28" xfId="1" applyFont="1" applyBorder="1" applyAlignment="1">
      <alignment horizontal="left"/>
    </xf>
    <xf numFmtId="43" fontId="0" fillId="0" borderId="33" xfId="1" applyFont="1" applyBorder="1" applyAlignment="1"/>
    <xf numFmtId="0" fontId="32" fillId="0" borderId="0" xfId="0" applyFont="1"/>
    <xf numFmtId="0" fontId="0" fillId="0" borderId="0" xfId="0" applyAlignment="1">
      <alignment horizontal="center"/>
    </xf>
    <xf numFmtId="2" fontId="3" fillId="2" borderId="1" xfId="0" applyNumberFormat="1" applyFont="1" applyFill="1" applyBorder="1" applyAlignment="1">
      <alignment horizontal="right"/>
    </xf>
    <xf numFmtId="0" fontId="3" fillId="2" borderId="1" xfId="0" applyFont="1" applyFill="1" applyBorder="1" applyAlignment="1">
      <alignment horizontal="left"/>
    </xf>
    <xf numFmtId="0" fontId="4" fillId="0" borderId="1" xfId="0" applyFont="1" applyFill="1" applyBorder="1" applyAlignment="1">
      <alignment horizontal="left" vertical="top" wrapText="1"/>
    </xf>
    <xf numFmtId="0" fontId="3" fillId="0" borderId="1" xfId="0" applyFont="1" applyFill="1" applyBorder="1" applyAlignment="1"/>
    <xf numFmtId="164" fontId="3" fillId="0" borderId="1" xfId="1" applyNumberFormat="1" applyFont="1" applyFill="1" applyBorder="1" applyAlignment="1"/>
    <xf numFmtId="165" fontId="4" fillId="8" borderId="44" xfId="0" applyNumberFormat="1" applyFont="1" applyFill="1" applyBorder="1" applyAlignment="1">
      <alignment horizontal="right" vertical="top"/>
    </xf>
    <xf numFmtId="43" fontId="4" fillId="3" borderId="3" xfId="1" applyFont="1" applyFill="1" applyBorder="1" applyAlignment="1">
      <alignment horizontal="center" wrapText="1"/>
    </xf>
    <xf numFmtId="2" fontId="5" fillId="3" borderId="3" xfId="0" applyNumberFormat="1" applyFont="1" applyFill="1" applyBorder="1" applyAlignment="1">
      <alignment horizontal="center"/>
    </xf>
    <xf numFmtId="0" fontId="5" fillId="3" borderId="3" xfId="0" applyFont="1" applyFill="1" applyBorder="1" applyAlignment="1">
      <alignment horizontal="center"/>
    </xf>
    <xf numFmtId="0" fontId="4" fillId="2" borderId="1" xfId="0" applyFont="1" applyFill="1" applyBorder="1" applyAlignment="1">
      <alignment horizontal="left" wrapText="1"/>
    </xf>
    <xf numFmtId="2" fontId="3" fillId="2" borderId="1" xfId="0" applyNumberFormat="1" applyFont="1" applyFill="1" applyBorder="1" applyAlignment="1">
      <alignment wrapText="1"/>
    </xf>
    <xf numFmtId="0" fontId="33" fillId="0" borderId="0" xfId="0" applyFont="1"/>
    <xf numFmtId="0" fontId="14" fillId="0" borderId="0" xfId="0" applyFont="1"/>
    <xf numFmtId="43" fontId="0" fillId="0" borderId="0" xfId="1" applyFont="1" applyFill="1"/>
    <xf numFmtId="0" fontId="3" fillId="2" borderId="51" xfId="0" applyFont="1" applyFill="1" applyBorder="1" applyAlignment="1">
      <alignment vertical="top" wrapText="1"/>
    </xf>
    <xf numFmtId="0" fontId="3" fillId="2" borderId="0" xfId="0" applyFont="1" applyFill="1" applyBorder="1" applyAlignment="1"/>
    <xf numFmtId="43" fontId="3" fillId="2" borderId="0" xfId="1" applyFont="1" applyFill="1" applyBorder="1" applyAlignment="1">
      <alignment horizontal="right"/>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xf numFmtId="1" fontId="4" fillId="0" borderId="12" xfId="0" applyNumberFormat="1" applyFont="1" applyFill="1" applyBorder="1" applyAlignment="1">
      <alignment horizontal="right" vertical="top"/>
    </xf>
    <xf numFmtId="2" fontId="3" fillId="2" borderId="0" xfId="0" applyNumberFormat="1" applyFont="1" applyFill="1" applyBorder="1" applyAlignment="1"/>
    <xf numFmtId="43" fontId="3" fillId="2" borderId="1" xfId="1" applyNumberFormat="1" applyFont="1" applyFill="1" applyBorder="1" applyAlignment="1">
      <alignment horizontal="right"/>
    </xf>
    <xf numFmtId="2" fontId="3" fillId="2" borderId="1" xfId="0" applyNumberFormat="1" applyFont="1" applyFill="1" applyBorder="1" applyAlignment="1">
      <alignment vertical="top"/>
    </xf>
    <xf numFmtId="167" fontId="29" fillId="9" borderId="25" xfId="5" applyFont="1" applyFill="1" applyBorder="1" applyAlignment="1" applyProtection="1">
      <alignment horizontal="center" vertical="center" wrapText="1"/>
    </xf>
    <xf numFmtId="167" fontId="29" fillId="9" borderId="36" xfId="5" applyFont="1" applyFill="1" applyBorder="1" applyAlignment="1" applyProtection="1">
      <alignment horizontal="center" vertical="center" wrapText="1"/>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wrapText="1"/>
    </xf>
    <xf numFmtId="0" fontId="6" fillId="4" borderId="7" xfId="0" applyFont="1" applyFill="1" applyBorder="1" applyAlignment="1">
      <alignment horizontal="left" wrapText="1"/>
    </xf>
    <xf numFmtId="0" fontId="7" fillId="6" borderId="6" xfId="0" applyFont="1" applyFill="1" applyBorder="1" applyAlignment="1">
      <alignment horizontal="left" wrapText="1"/>
    </xf>
    <xf numFmtId="0" fontId="7" fillId="6" borderId="7" xfId="0" applyFont="1" applyFill="1" applyBorder="1" applyAlignment="1">
      <alignment horizontal="left" wrapText="1"/>
    </xf>
    <xf numFmtId="0" fontId="7" fillId="6" borderId="8" xfId="0" applyFont="1" applyFill="1" applyBorder="1" applyAlignment="1">
      <alignment horizontal="left" wrapText="1"/>
    </xf>
    <xf numFmtId="0" fontId="7" fillId="6" borderId="41" xfId="0" applyFont="1" applyFill="1" applyBorder="1" applyAlignment="1">
      <alignment horizontal="left" vertical="top" wrapText="1"/>
    </xf>
    <xf numFmtId="0" fontId="7" fillId="6" borderId="42"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cellXfs>
  <cellStyles count="9">
    <cellStyle name="Comma" xfId="1" builtinId="3"/>
    <cellStyle name="Comma 2" xfId="3"/>
    <cellStyle name="Comma 2 2" xfId="5"/>
    <cellStyle name="Hyperlink" xfId="4" builtinId="8"/>
    <cellStyle name="Normal" xfId="0" builtinId="0"/>
    <cellStyle name="Normal 2" xfId="2"/>
    <cellStyle name="Normal 3" xfId="7"/>
    <cellStyle name="Normal 4" xfId="8"/>
    <cellStyle name="Normal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tabSelected="1" view="pageBreakPreview" zoomScaleNormal="100" zoomScaleSheetLayoutView="100" zoomScalePageLayoutView="85" workbookViewId="0">
      <selection activeCell="A2" sqref="A2"/>
    </sheetView>
  </sheetViews>
  <sheetFormatPr defaultRowHeight="15" x14ac:dyDescent="0.25"/>
  <cols>
    <col min="1" max="1" width="10.85546875" customWidth="1"/>
    <col min="2" max="2" width="31.140625" customWidth="1"/>
    <col min="3" max="3" width="41" customWidth="1"/>
    <col min="4" max="4" width="19.85546875" customWidth="1"/>
    <col min="5" max="9" width="13.140625" customWidth="1"/>
  </cols>
  <sheetData>
    <row r="1" spans="1:6" x14ac:dyDescent="0.25">
      <c r="A1" s="95"/>
      <c r="B1" s="95"/>
      <c r="C1" s="95"/>
      <c r="D1" s="96"/>
      <c r="E1" s="62"/>
      <c r="F1" s="62"/>
    </row>
    <row r="2" spans="1:6" ht="31.5" x14ac:dyDescent="0.5">
      <c r="A2" s="99" t="s">
        <v>148</v>
      </c>
      <c r="B2" s="99"/>
      <c r="C2" s="99"/>
      <c r="D2" s="99"/>
      <c r="E2" s="62"/>
      <c r="F2" s="62"/>
    </row>
    <row r="3" spans="1:6" ht="23.25" x14ac:dyDescent="0.35">
      <c r="A3" s="98" t="s">
        <v>309</v>
      </c>
      <c r="B3" s="98"/>
      <c r="C3" s="98"/>
      <c r="D3" s="98"/>
      <c r="E3" s="62"/>
      <c r="F3" s="62"/>
    </row>
    <row r="4" spans="1:6" x14ac:dyDescent="0.25">
      <c r="A4" s="97" t="s">
        <v>313</v>
      </c>
      <c r="B4" s="97"/>
      <c r="C4" s="97"/>
      <c r="D4" s="97"/>
      <c r="E4" s="62"/>
      <c r="F4" s="62"/>
    </row>
    <row r="5" spans="1:6" ht="17.25" x14ac:dyDescent="0.25">
      <c r="A5" s="97" t="s">
        <v>318</v>
      </c>
      <c r="B5" s="97"/>
      <c r="C5" s="97"/>
      <c r="D5" s="97"/>
      <c r="E5" s="62"/>
      <c r="F5" s="62"/>
    </row>
    <row r="7" spans="1:6" x14ac:dyDescent="0.25">
      <c r="A7" s="107"/>
      <c r="B7" s="108"/>
      <c r="C7" s="108"/>
      <c r="D7" s="108"/>
    </row>
    <row r="8" spans="1:6" ht="30.75" customHeight="1" x14ac:dyDescent="0.25">
      <c r="A8" s="129" t="s">
        <v>141</v>
      </c>
      <c r="B8" s="248" t="s">
        <v>12</v>
      </c>
      <c r="C8" s="249"/>
      <c r="D8" s="130" t="s">
        <v>142</v>
      </c>
    </row>
    <row r="9" spans="1:6" ht="16.5" x14ac:dyDescent="0.25">
      <c r="A9" s="131"/>
      <c r="B9" s="111"/>
      <c r="C9" s="112"/>
      <c r="D9" s="132"/>
    </row>
    <row r="10" spans="1:6" x14ac:dyDescent="0.25">
      <c r="A10" s="116">
        <v>1</v>
      </c>
      <c r="B10" s="116" t="s">
        <v>5</v>
      </c>
      <c r="C10" s="115"/>
      <c r="D10" s="133">
        <f>'GENERAL SUMMARY '!C18</f>
        <v>0</v>
      </c>
    </row>
    <row r="11" spans="1:6" x14ac:dyDescent="0.25">
      <c r="A11" s="116">
        <v>2</v>
      </c>
      <c r="B11" s="116" t="s">
        <v>84</v>
      </c>
      <c r="C11" s="115"/>
      <c r="D11" s="133">
        <f>'GENERAL SUMMARY '!D18</f>
        <v>0</v>
      </c>
    </row>
    <row r="12" spans="1:6" x14ac:dyDescent="0.25">
      <c r="A12" s="116">
        <v>3</v>
      </c>
      <c r="B12" s="116" t="s">
        <v>97</v>
      </c>
      <c r="C12" s="115"/>
      <c r="D12" s="133">
        <f>'GENERAL SUMMARY '!E18</f>
        <v>0</v>
      </c>
    </row>
    <row r="13" spans="1:6" ht="16.5" customHeight="1" x14ac:dyDescent="0.25">
      <c r="A13" s="116">
        <v>4</v>
      </c>
      <c r="B13" s="116" t="s">
        <v>60</v>
      </c>
      <c r="C13" s="115"/>
      <c r="D13" s="133">
        <f>'GENERAL SUMMARY '!F18</f>
        <v>0</v>
      </c>
    </row>
    <row r="14" spans="1:6" ht="16.5" customHeight="1" x14ac:dyDescent="0.25">
      <c r="A14" s="116">
        <v>5</v>
      </c>
      <c r="B14" s="116" t="s">
        <v>143</v>
      </c>
      <c r="C14" s="115"/>
      <c r="D14" s="133">
        <f>'GENERAL SUMMARY '!G18</f>
        <v>0</v>
      </c>
    </row>
    <row r="15" spans="1:6" x14ac:dyDescent="0.25">
      <c r="A15" s="116">
        <v>6</v>
      </c>
      <c r="B15" s="116" t="s">
        <v>48</v>
      </c>
      <c r="C15" s="115"/>
      <c r="D15" s="133">
        <f>'GENERAL SUMMARY '!H18</f>
        <v>0</v>
      </c>
    </row>
    <row r="16" spans="1:6" x14ac:dyDescent="0.25">
      <c r="A16" s="116">
        <v>7</v>
      </c>
      <c r="B16" s="116" t="s">
        <v>113</v>
      </c>
      <c r="C16" s="115"/>
      <c r="D16" s="133">
        <f>'GENERAL SUMMARY '!I18</f>
        <v>0</v>
      </c>
    </row>
    <row r="17" spans="1:4" x14ac:dyDescent="0.25">
      <c r="A17" s="116">
        <v>8</v>
      </c>
      <c r="B17" s="116" t="s">
        <v>45</v>
      </c>
      <c r="C17" s="115"/>
      <c r="D17" s="133">
        <f>'GENERAL SUMMARY '!J18</f>
        <v>0</v>
      </c>
    </row>
    <row r="18" spans="1:4" ht="16.5" customHeight="1" x14ac:dyDescent="0.25">
      <c r="A18" s="116">
        <v>9</v>
      </c>
      <c r="B18" s="116" t="s">
        <v>144</v>
      </c>
      <c r="C18" s="115"/>
      <c r="D18" s="133">
        <f>'GENERAL SUMMARY '!K18</f>
        <v>0</v>
      </c>
    </row>
    <row r="19" spans="1:4" ht="16.5" customHeight="1" x14ac:dyDescent="0.25">
      <c r="A19" s="116">
        <v>10</v>
      </c>
      <c r="B19" s="116" t="s">
        <v>145</v>
      </c>
      <c r="C19" s="115"/>
      <c r="D19" s="133">
        <f>'GENERAL SUMMARY '!L18</f>
        <v>0</v>
      </c>
    </row>
    <row r="20" spans="1:4" x14ac:dyDescent="0.25">
      <c r="A20" s="116">
        <v>11</v>
      </c>
      <c r="B20" s="116" t="s">
        <v>118</v>
      </c>
      <c r="C20" s="115"/>
      <c r="D20" s="133">
        <f>'GENERAL SUMMARY '!M18</f>
        <v>0</v>
      </c>
    </row>
    <row r="21" spans="1:4" x14ac:dyDescent="0.25">
      <c r="A21" s="116">
        <v>12</v>
      </c>
      <c r="B21" s="116" t="s">
        <v>195</v>
      </c>
      <c r="C21" s="115"/>
      <c r="D21" s="133">
        <f>+'BILL 12 Additions'!F2</f>
        <v>0</v>
      </c>
    </row>
    <row r="22" spans="1:4" x14ac:dyDescent="0.25">
      <c r="A22" s="116">
        <v>13</v>
      </c>
      <c r="B22" s="116" t="s">
        <v>196</v>
      </c>
      <c r="C22" s="115"/>
      <c r="D22" s="133">
        <f>-'BILL 13 Omissions'!F2</f>
        <v>0</v>
      </c>
    </row>
    <row r="23" spans="1:4" x14ac:dyDescent="0.25">
      <c r="A23" s="116"/>
      <c r="B23" s="116"/>
      <c r="C23" s="115"/>
      <c r="D23" s="133"/>
    </row>
    <row r="24" spans="1:4" x14ac:dyDescent="0.25">
      <c r="A24" s="116"/>
      <c r="B24" s="116"/>
      <c r="C24" s="115"/>
      <c r="D24" s="133"/>
    </row>
    <row r="25" spans="1:4" x14ac:dyDescent="0.25">
      <c r="A25" s="116"/>
      <c r="B25" s="116"/>
      <c r="C25" s="115"/>
      <c r="D25" s="133"/>
    </row>
    <row r="26" spans="1:4" x14ac:dyDescent="0.25">
      <c r="A26" s="116"/>
      <c r="B26" s="116"/>
      <c r="C26" s="115"/>
      <c r="D26" s="133"/>
    </row>
    <row r="27" spans="1:4" ht="16.5" x14ac:dyDescent="0.25">
      <c r="A27" s="134"/>
      <c r="B27" s="221" t="s">
        <v>146</v>
      </c>
      <c r="C27" s="109"/>
      <c r="D27" s="119">
        <f>SUM(D10:D26)</f>
        <v>0</v>
      </c>
    </row>
    <row r="28" spans="1:4" ht="16.5" x14ac:dyDescent="0.25">
      <c r="A28" s="135"/>
      <c r="B28" s="221" t="s">
        <v>147</v>
      </c>
      <c r="C28" s="114"/>
      <c r="D28" s="119">
        <f>D27*0.06</f>
        <v>0</v>
      </c>
    </row>
    <row r="29" spans="1:4" ht="16.5" x14ac:dyDescent="0.25">
      <c r="A29" s="136"/>
      <c r="B29" s="221" t="s">
        <v>197</v>
      </c>
      <c r="C29" s="110"/>
      <c r="D29" s="119">
        <f>D28+D27</f>
        <v>0</v>
      </c>
    </row>
    <row r="30" spans="1:4" ht="16.5" x14ac:dyDescent="0.25">
      <c r="A30" s="135"/>
      <c r="B30" s="117"/>
      <c r="C30" s="114"/>
      <c r="D30" s="118"/>
    </row>
    <row r="31" spans="1:4" ht="16.5" x14ac:dyDescent="0.25">
      <c r="A31" s="136"/>
      <c r="B31" s="222" t="s">
        <v>152</v>
      </c>
      <c r="C31" s="114"/>
      <c r="D31" s="113"/>
    </row>
  </sheetData>
  <mergeCells count="1">
    <mergeCell ref="B8:C8"/>
  </mergeCells>
  <printOptions horizontalCentered="1"/>
  <pageMargins left="0.1" right="0.1" top="0.75" bottom="0.75" header="0.3" footer="0.3"/>
  <pageSetup paperSize="9" scale="69"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view="pageBreakPreview" zoomScale="85" zoomScaleNormal="85" zoomScaleSheetLayoutView="85" workbookViewId="0">
      <selection activeCell="M25" sqref="M25"/>
    </sheetView>
  </sheetViews>
  <sheetFormatPr defaultRowHeight="15" x14ac:dyDescent="0.25"/>
  <cols>
    <col min="1" max="1" width="4.5703125" bestFit="1" customWidth="1"/>
    <col min="2" max="2" width="53" customWidth="1"/>
    <col min="3" max="3" width="9.140625" bestFit="1" customWidth="1"/>
    <col min="4" max="4" width="5.42578125" customWidth="1"/>
    <col min="5" max="5" width="9.7109375" customWidth="1"/>
    <col min="6" max="6" width="17.28515625" customWidth="1"/>
  </cols>
  <sheetData>
    <row r="1" spans="1:6" x14ac:dyDescent="0.25">
      <c r="A1" s="5" t="s">
        <v>11</v>
      </c>
      <c r="B1" s="6" t="s">
        <v>12</v>
      </c>
      <c r="C1" s="7" t="s">
        <v>13</v>
      </c>
      <c r="D1" s="8" t="s">
        <v>14</v>
      </c>
      <c r="E1" s="6" t="s">
        <v>138</v>
      </c>
      <c r="F1" s="9" t="s">
        <v>15</v>
      </c>
    </row>
    <row r="2" spans="1:6" ht="15.75" thickBot="1" x14ac:dyDescent="0.3">
      <c r="A2" s="10">
        <v>8</v>
      </c>
      <c r="B2" s="253" t="s">
        <v>45</v>
      </c>
      <c r="C2" s="254"/>
      <c r="D2" s="254"/>
      <c r="E2" s="254"/>
      <c r="F2" s="11"/>
    </row>
    <row r="3" spans="1:6" ht="15.75" thickTop="1" x14ac:dyDescent="0.25">
      <c r="A3" s="57"/>
      <c r="B3" s="14"/>
      <c r="C3" s="31"/>
      <c r="D3" s="27"/>
      <c r="E3" s="17"/>
      <c r="F3" s="18"/>
    </row>
    <row r="4" spans="1:6" x14ac:dyDescent="0.25">
      <c r="A4" s="101"/>
      <c r="B4" s="14" t="s">
        <v>17</v>
      </c>
      <c r="C4" s="31"/>
      <c r="D4" s="27"/>
      <c r="E4" s="17"/>
      <c r="F4" s="18"/>
    </row>
    <row r="5" spans="1:6" ht="51" x14ac:dyDescent="0.25">
      <c r="A5" s="25" t="s">
        <v>29</v>
      </c>
      <c r="B5" s="36" t="s">
        <v>128</v>
      </c>
      <c r="C5" s="31"/>
      <c r="D5" s="27"/>
      <c r="E5" s="17"/>
      <c r="F5" s="18"/>
    </row>
    <row r="6" spans="1:6" ht="185.25" customHeight="1" x14ac:dyDescent="0.25">
      <c r="A6" s="25" t="s">
        <v>27</v>
      </c>
      <c r="B6" s="36" t="s">
        <v>129</v>
      </c>
      <c r="C6" s="31"/>
      <c r="D6" s="27"/>
      <c r="E6" s="17"/>
      <c r="F6" s="18"/>
    </row>
    <row r="7" spans="1:6" x14ac:dyDescent="0.25">
      <c r="A7" s="205"/>
      <c r="B7" s="206"/>
      <c r="C7" s="207"/>
      <c r="D7" s="22"/>
      <c r="E7" s="168"/>
      <c r="F7" s="169"/>
    </row>
    <row r="8" spans="1:6" x14ac:dyDescent="0.25">
      <c r="A8" s="176">
        <v>8.1</v>
      </c>
      <c r="B8" s="267" t="s">
        <v>62</v>
      </c>
      <c r="C8" s="268"/>
      <c r="D8" s="268"/>
      <c r="E8" s="268"/>
      <c r="F8" s="32">
        <f>+SUM(F11:F14)</f>
        <v>0</v>
      </c>
    </row>
    <row r="9" spans="1:6" x14ac:dyDescent="0.25">
      <c r="A9" s="208"/>
      <c r="B9" s="84"/>
      <c r="C9" s="209"/>
      <c r="D9" s="173"/>
      <c r="E9" s="80"/>
      <c r="F9" s="34" t="str">
        <f>IF(E9="","",C9*E9)</f>
        <v/>
      </c>
    </row>
    <row r="10" spans="1:6" x14ac:dyDescent="0.25">
      <c r="A10" s="208"/>
      <c r="B10" s="102" t="s">
        <v>130</v>
      </c>
      <c r="C10" s="37"/>
      <c r="D10" s="27"/>
      <c r="E10" s="28"/>
      <c r="F10" s="34" t="str">
        <f>IF(E10="",IF(C10="","",C10*E10),C10*E10)</f>
        <v/>
      </c>
    </row>
    <row r="11" spans="1:6" x14ac:dyDescent="0.25">
      <c r="A11" s="212"/>
      <c r="B11" s="64" t="s">
        <v>158</v>
      </c>
      <c r="C11" s="128">
        <v>287.79000000000002</v>
      </c>
      <c r="D11" s="27" t="s">
        <v>114</v>
      </c>
      <c r="E11" s="28"/>
      <c r="F11" s="34">
        <f>IF(E11="",IF(C11="","",C11*E11),C11*E11)</f>
        <v>0</v>
      </c>
    </row>
    <row r="12" spans="1:6" ht="30" x14ac:dyDescent="0.25">
      <c r="A12" s="212"/>
      <c r="B12" s="123" t="s">
        <v>159</v>
      </c>
      <c r="C12" s="128">
        <v>45.21</v>
      </c>
      <c r="D12" s="27" t="s">
        <v>114</v>
      </c>
      <c r="E12" s="28"/>
      <c r="F12" s="34">
        <f>IF(E12="",IF(C12="","",C12*E12),C12*E12)</f>
        <v>0</v>
      </c>
    </row>
    <row r="13" spans="1:6" x14ac:dyDescent="0.25">
      <c r="A13" s="212"/>
      <c r="B13" s="102" t="s">
        <v>131</v>
      </c>
      <c r="C13" s="128"/>
      <c r="D13" s="27"/>
      <c r="E13" s="28"/>
      <c r="F13" s="34" t="str">
        <f>IF(E13="",IF(C13="","",C13*E13),C13*E13)</f>
        <v/>
      </c>
    </row>
    <row r="14" spans="1:6" x14ac:dyDescent="0.25">
      <c r="A14" s="212"/>
      <c r="B14" s="64" t="s">
        <v>132</v>
      </c>
      <c r="C14" s="128">
        <f>30.484*4.35</f>
        <v>132.6054</v>
      </c>
      <c r="D14" s="27" t="s">
        <v>114</v>
      </c>
      <c r="E14" s="28"/>
      <c r="F14" s="34">
        <f>IF(E14="",IF(C14="","",C14*E14),C14*E14)</f>
        <v>0</v>
      </c>
    </row>
    <row r="15" spans="1:6" x14ac:dyDescent="0.25">
      <c r="A15" s="176">
        <v>8.1999999999999993</v>
      </c>
      <c r="B15" s="267" t="s">
        <v>282</v>
      </c>
      <c r="C15" s="268"/>
      <c r="D15" s="268"/>
      <c r="E15" s="268"/>
      <c r="F15" s="32">
        <f>+SUM(F18:F18)</f>
        <v>0</v>
      </c>
    </row>
    <row r="16" spans="1:6" x14ac:dyDescent="0.25">
      <c r="A16" s="208"/>
      <c r="B16" s="84"/>
      <c r="C16" s="209"/>
      <c r="D16" s="173"/>
      <c r="E16" s="80"/>
      <c r="F16" s="34" t="str">
        <f>IF(E16="","",C16*E16)</f>
        <v/>
      </c>
    </row>
    <row r="17" spans="1:6" x14ac:dyDescent="0.25">
      <c r="A17" s="208"/>
      <c r="B17" s="102" t="s">
        <v>130</v>
      </c>
      <c r="C17" s="37"/>
      <c r="D17" s="27"/>
      <c r="E17" s="28"/>
      <c r="F17" s="34" t="str">
        <f>IF(E17="",IF(C17="","",C17*E17),C17*E17)</f>
        <v/>
      </c>
    </row>
    <row r="18" spans="1:6" x14ac:dyDescent="0.25">
      <c r="A18" s="212"/>
      <c r="B18" s="64" t="s">
        <v>158</v>
      </c>
      <c r="C18" s="128">
        <v>259.27</v>
      </c>
      <c r="D18" s="27" t="s">
        <v>114</v>
      </c>
      <c r="E18" s="28"/>
      <c r="F18" s="34">
        <f>IF(E18="",IF(C18="","",C18*E18),C18*E18)</f>
        <v>0</v>
      </c>
    </row>
    <row r="19" spans="1:6" x14ac:dyDescent="0.25">
      <c r="A19" s="212"/>
      <c r="B19" s="105"/>
      <c r="C19" s="37"/>
      <c r="D19" s="27"/>
      <c r="E19" s="28"/>
      <c r="F19" s="34" t="str">
        <f>IF(E19="","",C19*E19)</f>
        <v/>
      </c>
    </row>
    <row r="20" spans="1:6" x14ac:dyDescent="0.25">
      <c r="A20" s="103"/>
      <c r="B20" s="36"/>
      <c r="C20" s="104"/>
      <c r="D20" s="27"/>
      <c r="E20" s="28"/>
      <c r="F20" s="34" t="str">
        <f>IF(E20="","",C20*E20)</f>
        <v/>
      </c>
    </row>
    <row r="21" spans="1:6" x14ac:dyDescent="0.25">
      <c r="A21" s="145"/>
      <c r="B21" s="146"/>
      <c r="C21" s="146"/>
      <c r="D21" s="146"/>
      <c r="E21" s="146"/>
      <c r="F21" s="147" t="s">
        <v>184</v>
      </c>
    </row>
  </sheetData>
  <mergeCells count="3">
    <mergeCell ref="B2:E2"/>
    <mergeCell ref="B8:E8"/>
    <mergeCell ref="B15:E15"/>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BreakPreview" zoomScale="85" zoomScaleNormal="100" zoomScaleSheetLayoutView="85" workbookViewId="0">
      <selection activeCell="F10" sqref="F10"/>
    </sheetView>
  </sheetViews>
  <sheetFormatPr defaultRowHeight="15" x14ac:dyDescent="0.25"/>
  <cols>
    <col min="1" max="1" width="5.85546875" bestFit="1" customWidth="1"/>
    <col min="2" max="2" width="42.85546875" customWidth="1"/>
    <col min="3" max="3" width="5.42578125" bestFit="1" customWidth="1"/>
    <col min="4" max="4" width="5.85546875" customWidth="1"/>
    <col min="5" max="5" width="12.140625" bestFit="1" customWidth="1"/>
    <col min="6" max="6" width="15.28515625" customWidth="1"/>
  </cols>
  <sheetData>
    <row r="1" spans="1:6" x14ac:dyDescent="0.25">
      <c r="A1" s="5" t="s">
        <v>11</v>
      </c>
      <c r="B1" s="6" t="s">
        <v>12</v>
      </c>
      <c r="C1" s="7" t="s">
        <v>13</v>
      </c>
      <c r="D1" s="8" t="s">
        <v>14</v>
      </c>
      <c r="E1" s="6" t="s">
        <v>138</v>
      </c>
      <c r="F1" s="9" t="s">
        <v>15</v>
      </c>
    </row>
    <row r="2" spans="1:6" ht="15.75" thickBot="1" x14ac:dyDescent="0.3">
      <c r="A2" s="10">
        <v>9</v>
      </c>
      <c r="B2" s="253" t="s">
        <v>31</v>
      </c>
      <c r="C2" s="254"/>
      <c r="D2" s="254"/>
      <c r="E2" s="254"/>
      <c r="F2" s="11"/>
    </row>
    <row r="3" spans="1:6" ht="15.75" thickTop="1" x14ac:dyDescent="0.25">
      <c r="A3" s="57"/>
      <c r="B3" s="14"/>
      <c r="C3" s="31"/>
      <c r="D3" s="27"/>
      <c r="E3" s="17"/>
      <c r="F3" s="18"/>
    </row>
    <row r="4" spans="1:6" x14ac:dyDescent="0.25">
      <c r="A4" s="56" t="s">
        <v>21</v>
      </c>
      <c r="B4" s="14" t="s">
        <v>17</v>
      </c>
      <c r="C4" s="28"/>
      <c r="D4" s="27"/>
      <c r="E4" s="28"/>
      <c r="F4" s="29"/>
    </row>
    <row r="5" spans="1:6" ht="102" x14ac:dyDescent="0.25">
      <c r="A5" s="25">
        <v>1</v>
      </c>
      <c r="B5" s="36" t="s">
        <v>34</v>
      </c>
      <c r="C5" s="28"/>
      <c r="D5" s="27"/>
      <c r="E5" s="28"/>
      <c r="F5" s="29"/>
    </row>
    <row r="6" spans="1:6" ht="76.5" x14ac:dyDescent="0.25">
      <c r="A6" s="25">
        <v>2</v>
      </c>
      <c r="B6" s="36" t="s">
        <v>56</v>
      </c>
      <c r="C6" s="28"/>
      <c r="D6" s="27"/>
      <c r="E6" s="28"/>
      <c r="F6" s="29"/>
    </row>
    <row r="7" spans="1:6" ht="51" x14ac:dyDescent="0.25">
      <c r="A7" s="25">
        <v>3</v>
      </c>
      <c r="B7" s="36" t="s">
        <v>57</v>
      </c>
      <c r="C7" s="28"/>
      <c r="D7" s="27"/>
      <c r="E7" s="28"/>
      <c r="F7" s="29"/>
    </row>
    <row r="8" spans="1:6" ht="25.5" x14ac:dyDescent="0.25">
      <c r="A8" s="25">
        <v>4</v>
      </c>
      <c r="B8" s="36" t="s">
        <v>30</v>
      </c>
      <c r="C8" s="15"/>
      <c r="D8" s="16"/>
      <c r="E8" s="17"/>
      <c r="F8" s="18"/>
    </row>
    <row r="9" spans="1:6" x14ac:dyDescent="0.25">
      <c r="A9" s="19"/>
      <c r="B9" s="165"/>
      <c r="C9" s="166"/>
      <c r="D9" s="167"/>
      <c r="E9" s="168"/>
      <c r="F9" s="169"/>
    </row>
    <row r="10" spans="1:6" x14ac:dyDescent="0.25">
      <c r="A10" s="176">
        <v>9.1</v>
      </c>
      <c r="B10" s="267" t="s">
        <v>62</v>
      </c>
      <c r="C10" s="268"/>
      <c r="D10" s="268"/>
      <c r="E10" s="268"/>
      <c r="F10" s="32">
        <f>SUM(F12:F28)</f>
        <v>0</v>
      </c>
    </row>
    <row r="11" spans="1:6" x14ac:dyDescent="0.25">
      <c r="A11" s="203"/>
      <c r="B11" s="84" t="s">
        <v>32</v>
      </c>
      <c r="C11" s="177"/>
      <c r="D11" s="204"/>
      <c r="E11" s="178"/>
      <c r="F11" s="179"/>
    </row>
    <row r="12" spans="1:6" ht="76.5" x14ac:dyDescent="0.25">
      <c r="A12" s="25">
        <v>1</v>
      </c>
      <c r="B12" s="213" t="s">
        <v>188</v>
      </c>
      <c r="C12" s="45">
        <v>1</v>
      </c>
      <c r="D12" s="27" t="s">
        <v>24</v>
      </c>
      <c r="E12" s="55"/>
      <c r="F12" s="34">
        <f t="shared" ref="F12:F26" si="0">IF(E12="",IF(C12="","",C12*E12),C12*E12)</f>
        <v>0</v>
      </c>
    </row>
    <row r="13" spans="1:6" ht="38.25" x14ac:dyDescent="0.25">
      <c r="A13" s="25">
        <v>2</v>
      </c>
      <c r="B13" s="2" t="s">
        <v>156</v>
      </c>
      <c r="C13" s="45">
        <v>1</v>
      </c>
      <c r="D13" s="27" t="s">
        <v>24</v>
      </c>
      <c r="E13" s="55"/>
      <c r="F13" s="34">
        <f t="shared" si="0"/>
        <v>0</v>
      </c>
    </row>
    <row r="14" spans="1:6" ht="38.25" x14ac:dyDescent="0.25">
      <c r="A14" s="25">
        <v>3</v>
      </c>
      <c r="B14" s="2" t="s">
        <v>214</v>
      </c>
      <c r="C14" s="45">
        <v>1</v>
      </c>
      <c r="D14" s="27" t="s">
        <v>24</v>
      </c>
      <c r="E14" s="55"/>
      <c r="F14" s="34">
        <f t="shared" si="0"/>
        <v>0</v>
      </c>
    </row>
    <row r="15" spans="1:6" x14ac:dyDescent="0.25">
      <c r="A15" s="63">
        <v>4</v>
      </c>
      <c r="B15" s="14" t="s">
        <v>33</v>
      </c>
      <c r="C15" s="45"/>
      <c r="D15" s="16"/>
      <c r="E15" s="17"/>
      <c r="F15" s="34" t="str">
        <f t="shared" si="0"/>
        <v/>
      </c>
    </row>
    <row r="16" spans="1:6" ht="15" customHeight="1" x14ac:dyDescent="0.25">
      <c r="A16" s="25"/>
      <c r="B16" s="2" t="s">
        <v>160</v>
      </c>
      <c r="C16" s="45">
        <v>7</v>
      </c>
      <c r="D16" s="27" t="s">
        <v>10</v>
      </c>
      <c r="E16" s="55"/>
      <c r="F16" s="34">
        <f t="shared" si="0"/>
        <v>0</v>
      </c>
    </row>
    <row r="17" spans="1:6" ht="15" customHeight="1" x14ac:dyDescent="0.25">
      <c r="A17" s="25"/>
      <c r="B17" s="2" t="s">
        <v>285</v>
      </c>
      <c r="C17" s="45">
        <v>4</v>
      </c>
      <c r="D17" s="27" t="s">
        <v>10</v>
      </c>
      <c r="E17" s="55"/>
      <c r="F17" s="34">
        <f t="shared" si="0"/>
        <v>0</v>
      </c>
    </row>
    <row r="18" spans="1:6" ht="15" customHeight="1" x14ac:dyDescent="0.25">
      <c r="A18" s="25"/>
      <c r="B18" s="36" t="s">
        <v>161</v>
      </c>
      <c r="C18" s="45">
        <v>2</v>
      </c>
      <c r="D18" s="27" t="s">
        <v>10</v>
      </c>
      <c r="E18" s="55"/>
      <c r="F18" s="34">
        <f t="shared" si="0"/>
        <v>0</v>
      </c>
    </row>
    <row r="19" spans="1:6" ht="15" customHeight="1" x14ac:dyDescent="0.25">
      <c r="A19" s="25"/>
      <c r="B19" s="2" t="s">
        <v>224</v>
      </c>
      <c r="C19" s="45">
        <v>1</v>
      </c>
      <c r="D19" s="27" t="s">
        <v>10</v>
      </c>
      <c r="E19" s="55"/>
      <c r="F19" s="34">
        <f t="shared" si="0"/>
        <v>0</v>
      </c>
    </row>
    <row r="20" spans="1:6" ht="15" customHeight="1" x14ac:dyDescent="0.25">
      <c r="A20" s="25"/>
      <c r="B20" s="36" t="s">
        <v>286</v>
      </c>
      <c r="C20" s="45">
        <v>1</v>
      </c>
      <c r="D20" s="27" t="s">
        <v>10</v>
      </c>
      <c r="E20" s="55"/>
      <c r="F20" s="34">
        <f t="shared" si="0"/>
        <v>0</v>
      </c>
    </row>
    <row r="21" spans="1:6" x14ac:dyDescent="0.25">
      <c r="A21" s="25"/>
      <c r="B21" s="124" t="s">
        <v>287</v>
      </c>
      <c r="C21" s="45">
        <v>1</v>
      </c>
      <c r="D21" s="27" t="s">
        <v>10</v>
      </c>
      <c r="E21" s="55"/>
      <c r="F21" s="34">
        <f t="shared" si="0"/>
        <v>0</v>
      </c>
    </row>
    <row r="22" spans="1:6" ht="15" customHeight="1" x14ac:dyDescent="0.25">
      <c r="A22" s="25"/>
      <c r="B22" s="36" t="s">
        <v>162</v>
      </c>
      <c r="C22" s="45">
        <v>4</v>
      </c>
      <c r="D22" s="27" t="s">
        <v>10</v>
      </c>
      <c r="E22" s="55"/>
      <c r="F22" s="34">
        <f t="shared" si="0"/>
        <v>0</v>
      </c>
    </row>
    <row r="23" spans="1:6" ht="15" customHeight="1" x14ac:dyDescent="0.25">
      <c r="A23" s="25"/>
      <c r="B23" s="36" t="s">
        <v>225</v>
      </c>
      <c r="C23" s="45">
        <v>17</v>
      </c>
      <c r="D23" s="27" t="s">
        <v>10</v>
      </c>
      <c r="E23" s="55"/>
      <c r="F23" s="34">
        <f t="shared" si="0"/>
        <v>0</v>
      </c>
    </row>
    <row r="24" spans="1:6" ht="15" customHeight="1" x14ac:dyDescent="0.25">
      <c r="A24" s="25"/>
      <c r="B24" s="36" t="s">
        <v>288</v>
      </c>
      <c r="C24" s="45">
        <v>4</v>
      </c>
      <c r="D24" s="27" t="s">
        <v>10</v>
      </c>
      <c r="E24" s="55"/>
      <c r="F24" s="34">
        <f t="shared" si="0"/>
        <v>0</v>
      </c>
    </row>
    <row r="25" spans="1:6" ht="15" customHeight="1" x14ac:dyDescent="0.25">
      <c r="A25" s="25"/>
      <c r="B25" s="36" t="s">
        <v>155</v>
      </c>
      <c r="C25" s="45">
        <v>4</v>
      </c>
      <c r="D25" s="27" t="s">
        <v>10</v>
      </c>
      <c r="E25" s="55"/>
      <c r="F25" s="34">
        <f t="shared" si="0"/>
        <v>0</v>
      </c>
    </row>
    <row r="26" spans="1:6" ht="15" customHeight="1" x14ac:dyDescent="0.25">
      <c r="A26" s="25"/>
      <c r="B26" s="36" t="s">
        <v>289</v>
      </c>
      <c r="C26" s="45">
        <v>1</v>
      </c>
      <c r="D26" s="27" t="s">
        <v>10</v>
      </c>
      <c r="E26" s="55"/>
      <c r="F26" s="34">
        <f t="shared" si="0"/>
        <v>0</v>
      </c>
    </row>
    <row r="27" spans="1:6" ht="15" customHeight="1" x14ac:dyDescent="0.25">
      <c r="A27" s="25"/>
      <c r="B27" s="36" t="s">
        <v>290</v>
      </c>
      <c r="C27" s="45">
        <v>1</v>
      </c>
      <c r="D27" s="27"/>
      <c r="E27" s="55"/>
      <c r="F27" s="34"/>
    </row>
    <row r="28" spans="1:6" ht="15" customHeight="1" x14ac:dyDescent="0.25">
      <c r="A28" s="25"/>
      <c r="B28" s="36" t="s">
        <v>291</v>
      </c>
      <c r="C28" s="45">
        <v>1</v>
      </c>
      <c r="D28" s="27"/>
      <c r="E28" s="55"/>
      <c r="F28" s="34" t="str">
        <f>IF(E28="","",C28*E28)</f>
        <v/>
      </c>
    </row>
    <row r="29" spans="1:6" x14ac:dyDescent="0.25">
      <c r="A29" s="19"/>
      <c r="B29" s="165"/>
      <c r="C29" s="166"/>
      <c r="D29" s="167"/>
      <c r="E29" s="168"/>
      <c r="F29" s="169"/>
    </row>
    <row r="30" spans="1:6" x14ac:dyDescent="0.25">
      <c r="A30" s="176">
        <v>9.1999999999999993</v>
      </c>
      <c r="B30" s="267" t="s">
        <v>63</v>
      </c>
      <c r="C30" s="268"/>
      <c r="D30" s="268"/>
      <c r="E30" s="268"/>
      <c r="F30" s="32">
        <f>SUM(F32:F34)</f>
        <v>0</v>
      </c>
    </row>
    <row r="31" spans="1:6" x14ac:dyDescent="0.25">
      <c r="A31" s="203"/>
      <c r="B31" s="84" t="s">
        <v>32</v>
      </c>
      <c r="C31" s="177"/>
      <c r="D31" s="204"/>
      <c r="E31" s="178"/>
      <c r="F31" s="179"/>
    </row>
    <row r="32" spans="1:6" ht="38.25" x14ac:dyDescent="0.25">
      <c r="A32" s="25">
        <v>1</v>
      </c>
      <c r="B32" s="2" t="s">
        <v>156</v>
      </c>
      <c r="C32" s="45">
        <v>1</v>
      </c>
      <c r="D32" s="27" t="s">
        <v>24</v>
      </c>
      <c r="E32" s="55"/>
      <c r="F32" s="34">
        <f t="shared" ref="F32:F34" si="1">IF(E32="",IF(C32="","",C32*E32),C32*E32)</f>
        <v>0</v>
      </c>
    </row>
    <row r="33" spans="1:6" x14ac:dyDescent="0.25">
      <c r="A33" s="63">
        <v>4</v>
      </c>
      <c r="B33" s="14" t="s">
        <v>33</v>
      </c>
      <c r="C33" s="45"/>
      <c r="D33" s="16"/>
      <c r="E33" s="17"/>
      <c r="F33" s="34" t="str">
        <f t="shared" si="1"/>
        <v/>
      </c>
    </row>
    <row r="34" spans="1:6" ht="15" customHeight="1" x14ac:dyDescent="0.25">
      <c r="A34" s="25"/>
      <c r="B34" s="36" t="s">
        <v>286</v>
      </c>
      <c r="C34" s="45">
        <v>16</v>
      </c>
      <c r="D34" s="27" t="s">
        <v>10</v>
      </c>
      <c r="E34" s="55"/>
      <c r="F34" s="34">
        <f t="shared" si="1"/>
        <v>0</v>
      </c>
    </row>
    <row r="35" spans="1:6" ht="15" customHeight="1" x14ac:dyDescent="0.25">
      <c r="A35" s="25"/>
      <c r="B35" s="36"/>
      <c r="C35" s="45"/>
      <c r="D35" s="27"/>
      <c r="E35" s="55"/>
      <c r="F35" s="34"/>
    </row>
    <row r="36" spans="1:6" x14ac:dyDescent="0.25">
      <c r="A36" s="145"/>
      <c r="B36" s="146"/>
      <c r="C36" s="146"/>
      <c r="D36" s="146"/>
      <c r="E36" s="146"/>
      <c r="F36" s="147" t="s">
        <v>185</v>
      </c>
    </row>
  </sheetData>
  <mergeCells count="3">
    <mergeCell ref="B2:E2"/>
    <mergeCell ref="B10:E10"/>
    <mergeCell ref="B30:E30"/>
  </mergeCells>
  <pageMargins left="0.7" right="0.7" top="0.75" bottom="0.75" header="0.3" footer="0.3"/>
  <pageSetup paperSize="9" scale="85"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view="pageBreakPreview" zoomScale="85" zoomScaleNormal="85" zoomScaleSheetLayoutView="85" workbookViewId="0">
      <selection activeCell="B18" sqref="B18"/>
    </sheetView>
  </sheetViews>
  <sheetFormatPr defaultRowHeight="15" x14ac:dyDescent="0.25"/>
  <cols>
    <col min="1" max="1" width="5.85546875" bestFit="1" customWidth="1"/>
    <col min="2" max="2" width="37" customWidth="1"/>
    <col min="3" max="3" width="8.140625" bestFit="1" customWidth="1"/>
    <col min="4" max="4" width="6.5703125" bestFit="1" customWidth="1"/>
    <col min="5" max="5" width="15.28515625" customWidth="1"/>
    <col min="6" max="6" width="13.28515625" customWidth="1"/>
  </cols>
  <sheetData>
    <row r="1" spans="1:6" x14ac:dyDescent="0.25">
      <c r="A1" s="5" t="s">
        <v>11</v>
      </c>
      <c r="B1" s="6" t="s">
        <v>12</v>
      </c>
      <c r="C1" s="7" t="s">
        <v>13</v>
      </c>
      <c r="D1" s="8" t="s">
        <v>14</v>
      </c>
      <c r="E1" s="6" t="s">
        <v>138</v>
      </c>
      <c r="F1" s="9" t="s">
        <v>15</v>
      </c>
    </row>
    <row r="2" spans="1:6" ht="15.75" customHeight="1" thickBot="1" x14ac:dyDescent="0.3">
      <c r="A2" s="10">
        <v>10</v>
      </c>
      <c r="B2" s="253" t="s">
        <v>43</v>
      </c>
      <c r="C2" s="254"/>
      <c r="D2" s="254"/>
      <c r="E2" s="254"/>
      <c r="F2" s="59"/>
    </row>
    <row r="3" spans="1:6" ht="15.75" thickTop="1" x14ac:dyDescent="0.25">
      <c r="A3" s="13"/>
      <c r="B3" s="14" t="s">
        <v>17</v>
      </c>
      <c r="C3" s="15"/>
      <c r="D3" s="16"/>
      <c r="E3" s="17"/>
      <c r="F3" s="18"/>
    </row>
    <row r="4" spans="1:6" s="44" customFormat="1" ht="63.75" x14ac:dyDescent="0.2">
      <c r="A4" s="25" t="s">
        <v>29</v>
      </c>
      <c r="B4" s="36" t="s">
        <v>42</v>
      </c>
      <c r="C4" s="39"/>
      <c r="D4" s="27"/>
      <c r="E4" s="47"/>
      <c r="F4" s="46"/>
    </row>
    <row r="5" spans="1:6" s="44" customFormat="1" ht="68.25" customHeight="1" x14ac:dyDescent="0.2">
      <c r="A5" s="25" t="s">
        <v>27</v>
      </c>
      <c r="B5" s="36" t="s">
        <v>41</v>
      </c>
      <c r="C5" s="39"/>
      <c r="D5" s="27"/>
      <c r="E5" s="47"/>
      <c r="F5" s="46"/>
    </row>
    <row r="6" spans="1:6" s="44" customFormat="1" ht="38.25" customHeight="1" x14ac:dyDescent="0.2">
      <c r="A6" s="25" t="s">
        <v>40</v>
      </c>
      <c r="B6" s="36" t="s">
        <v>39</v>
      </c>
      <c r="C6" s="39"/>
      <c r="D6" s="27"/>
      <c r="E6" s="47"/>
      <c r="F6" s="46"/>
    </row>
    <row r="7" spans="1:6" s="44" customFormat="1" ht="76.5" customHeight="1" x14ac:dyDescent="0.2">
      <c r="A7" s="25" t="s">
        <v>40</v>
      </c>
      <c r="B7" s="36" t="s">
        <v>59</v>
      </c>
      <c r="C7" s="39"/>
      <c r="D7" s="27"/>
      <c r="E7" s="47"/>
      <c r="F7" s="46"/>
    </row>
    <row r="8" spans="1:6" s="44" customFormat="1" ht="51" x14ac:dyDescent="0.2">
      <c r="A8" s="25" t="s">
        <v>38</v>
      </c>
      <c r="B8" s="36" t="s">
        <v>37</v>
      </c>
      <c r="C8" s="39"/>
      <c r="D8" s="27"/>
      <c r="E8" s="47"/>
      <c r="F8" s="46"/>
    </row>
    <row r="9" spans="1:6" s="50" customFormat="1" ht="25.5" x14ac:dyDescent="0.2">
      <c r="A9" s="25" t="s">
        <v>26</v>
      </c>
      <c r="B9" s="36" t="s">
        <v>25</v>
      </c>
      <c r="C9" s="15"/>
      <c r="D9" s="16"/>
      <c r="E9" s="17"/>
      <c r="F9" s="18"/>
    </row>
    <row r="10" spans="1:6" s="50" customFormat="1" ht="12.75" x14ac:dyDescent="0.2">
      <c r="A10" s="149"/>
      <c r="B10" s="157"/>
      <c r="C10" s="161"/>
      <c r="D10" s="162"/>
      <c r="E10" s="163"/>
      <c r="F10" s="164"/>
    </row>
    <row r="11" spans="1:6" x14ac:dyDescent="0.25">
      <c r="A11" s="176">
        <v>10.1</v>
      </c>
      <c r="B11" s="267" t="s">
        <v>62</v>
      </c>
      <c r="C11" s="268"/>
      <c r="D11" s="268"/>
      <c r="E11" s="268"/>
      <c r="F11" s="32">
        <f>SUM(F14:F42)</f>
        <v>0</v>
      </c>
    </row>
    <row r="12" spans="1:6" x14ac:dyDescent="0.25">
      <c r="A12" s="170"/>
      <c r="B12" s="171"/>
      <c r="C12" s="172"/>
      <c r="D12" s="173"/>
      <c r="E12" s="174"/>
      <c r="F12" s="175"/>
    </row>
    <row r="13" spans="1:6" x14ac:dyDescent="0.25">
      <c r="A13" s="60">
        <v>1</v>
      </c>
      <c r="B13" s="14" t="s">
        <v>36</v>
      </c>
      <c r="C13" s="45"/>
      <c r="D13" s="27"/>
      <c r="E13" s="55"/>
      <c r="F13" s="34" t="str">
        <f t="shared" ref="F13:F40" si="0">IF(E13="",IF(C13="","",C13*E13),C13*E13)</f>
        <v/>
      </c>
    </row>
    <row r="14" spans="1:6" x14ac:dyDescent="0.25">
      <c r="A14" s="25"/>
      <c r="B14" s="36" t="s">
        <v>190</v>
      </c>
      <c r="C14" s="216">
        <v>1</v>
      </c>
      <c r="D14" s="217" t="s">
        <v>24</v>
      </c>
      <c r="E14" s="218"/>
      <c r="F14" s="34">
        <f t="shared" si="0"/>
        <v>0</v>
      </c>
    </row>
    <row r="15" spans="1:6" ht="76.5" x14ac:dyDescent="0.25">
      <c r="A15" s="25"/>
      <c r="B15" s="36" t="s">
        <v>44</v>
      </c>
      <c r="C15" s="216">
        <v>1</v>
      </c>
      <c r="D15" s="217" t="s">
        <v>24</v>
      </c>
      <c r="E15" s="218"/>
      <c r="F15" s="34">
        <f t="shared" si="0"/>
        <v>0</v>
      </c>
    </row>
    <row r="16" spans="1:6" x14ac:dyDescent="0.25">
      <c r="A16" s="25"/>
      <c r="B16" s="36" t="s">
        <v>189</v>
      </c>
      <c r="C16" s="45">
        <v>1</v>
      </c>
      <c r="D16" s="27" t="s">
        <v>24</v>
      </c>
      <c r="E16" s="55"/>
      <c r="F16" s="34">
        <f t="shared" si="0"/>
        <v>0</v>
      </c>
    </row>
    <row r="17" spans="1:6" x14ac:dyDescent="0.25">
      <c r="A17" s="35"/>
      <c r="B17" s="36"/>
      <c r="C17" s="45"/>
      <c r="D17" s="27"/>
      <c r="E17" s="55"/>
      <c r="F17" s="34" t="str">
        <f t="shared" si="0"/>
        <v/>
      </c>
    </row>
    <row r="18" spans="1:6" ht="63.75" customHeight="1" x14ac:dyDescent="0.25">
      <c r="A18" s="60">
        <v>2</v>
      </c>
      <c r="B18" s="14" t="s">
        <v>35</v>
      </c>
      <c r="C18" s="45"/>
      <c r="D18" s="27"/>
      <c r="E18" s="55"/>
      <c r="F18" s="34" t="str">
        <f t="shared" si="0"/>
        <v/>
      </c>
    </row>
    <row r="19" spans="1:6" ht="15" customHeight="1" x14ac:dyDescent="0.25">
      <c r="A19" s="25"/>
      <c r="B19" s="2" t="s">
        <v>228</v>
      </c>
      <c r="C19" s="45">
        <v>8</v>
      </c>
      <c r="D19" s="27" t="s">
        <v>10</v>
      </c>
      <c r="E19" s="55"/>
      <c r="F19" s="34">
        <f t="shared" si="0"/>
        <v>0</v>
      </c>
    </row>
    <row r="20" spans="1:6" ht="15" customHeight="1" x14ac:dyDescent="0.25">
      <c r="A20" s="25"/>
      <c r="B20" s="2" t="s">
        <v>292</v>
      </c>
      <c r="C20" s="45">
        <v>8</v>
      </c>
      <c r="D20" s="27" t="s">
        <v>10</v>
      </c>
      <c r="E20" s="55"/>
      <c r="F20" s="34">
        <f t="shared" si="0"/>
        <v>0</v>
      </c>
    </row>
    <row r="21" spans="1:6" ht="15" customHeight="1" x14ac:dyDescent="0.25">
      <c r="A21" s="25"/>
      <c r="B21" s="2" t="s">
        <v>168</v>
      </c>
      <c r="C21" s="45">
        <v>4</v>
      </c>
      <c r="D21" s="27" t="s">
        <v>10</v>
      </c>
      <c r="E21" s="55"/>
      <c r="F21" s="34">
        <f t="shared" si="0"/>
        <v>0</v>
      </c>
    </row>
    <row r="22" spans="1:6" ht="15" customHeight="1" x14ac:dyDescent="0.25">
      <c r="A22" s="25"/>
      <c r="B22" s="2" t="s">
        <v>293</v>
      </c>
      <c r="C22" s="45">
        <v>2</v>
      </c>
      <c r="D22" s="27" t="s">
        <v>10</v>
      </c>
      <c r="E22" s="55"/>
      <c r="F22" s="34">
        <f t="shared" si="0"/>
        <v>0</v>
      </c>
    </row>
    <row r="23" spans="1:6" ht="15" customHeight="1" x14ac:dyDescent="0.25">
      <c r="A23" s="25"/>
      <c r="B23" s="2" t="s">
        <v>294</v>
      </c>
      <c r="C23" s="45">
        <v>34</v>
      </c>
      <c r="D23" s="27" t="s">
        <v>10</v>
      </c>
      <c r="E23" s="55"/>
      <c r="F23" s="34">
        <f t="shared" si="0"/>
        <v>0</v>
      </c>
    </row>
    <row r="24" spans="1:6" ht="15" customHeight="1" x14ac:dyDescent="0.25">
      <c r="A24" s="25"/>
      <c r="B24" s="2" t="s">
        <v>295</v>
      </c>
      <c r="C24" s="45">
        <v>2</v>
      </c>
      <c r="D24" s="27" t="s">
        <v>10</v>
      </c>
      <c r="E24" s="55"/>
      <c r="F24" s="34">
        <f t="shared" si="0"/>
        <v>0</v>
      </c>
    </row>
    <row r="25" spans="1:6" ht="15" customHeight="1" x14ac:dyDescent="0.25">
      <c r="A25" s="25"/>
      <c r="B25" s="2" t="s">
        <v>296</v>
      </c>
      <c r="C25" s="45">
        <v>2</v>
      </c>
      <c r="D25" s="27" t="s">
        <v>10</v>
      </c>
      <c r="E25" s="55"/>
      <c r="F25" s="34">
        <f t="shared" si="0"/>
        <v>0</v>
      </c>
    </row>
    <row r="26" spans="1:6" ht="15" customHeight="1" x14ac:dyDescent="0.25">
      <c r="A26" s="25"/>
      <c r="B26" s="2" t="s">
        <v>297</v>
      </c>
      <c r="C26" s="45">
        <v>31</v>
      </c>
      <c r="D26" s="27" t="s">
        <v>10</v>
      </c>
      <c r="E26" s="55"/>
      <c r="F26" s="34">
        <f t="shared" si="0"/>
        <v>0</v>
      </c>
    </row>
    <row r="27" spans="1:6" ht="15" customHeight="1" x14ac:dyDescent="0.25">
      <c r="A27" s="25"/>
      <c r="B27" s="2" t="s">
        <v>226</v>
      </c>
      <c r="C27" s="45">
        <v>4</v>
      </c>
      <c r="D27" s="27" t="s">
        <v>10</v>
      </c>
      <c r="E27" s="55"/>
      <c r="F27" s="34">
        <f t="shared" si="0"/>
        <v>0</v>
      </c>
    </row>
    <row r="28" spans="1:6" ht="15" customHeight="1" x14ac:dyDescent="0.25">
      <c r="A28" s="25"/>
      <c r="B28" s="2" t="s">
        <v>169</v>
      </c>
      <c r="C28" s="45">
        <v>3</v>
      </c>
      <c r="D28" s="27" t="s">
        <v>10</v>
      </c>
      <c r="E28" s="55"/>
      <c r="F28" s="34">
        <f t="shared" si="0"/>
        <v>0</v>
      </c>
    </row>
    <row r="29" spans="1:6" ht="15" customHeight="1" x14ac:dyDescent="0.25">
      <c r="A29" s="25"/>
      <c r="B29" s="2" t="s">
        <v>170</v>
      </c>
      <c r="C29" s="45">
        <v>5</v>
      </c>
      <c r="D29" s="27" t="s">
        <v>10</v>
      </c>
      <c r="E29" s="55"/>
      <c r="F29" s="34">
        <f t="shared" si="0"/>
        <v>0</v>
      </c>
    </row>
    <row r="30" spans="1:6" ht="15" customHeight="1" x14ac:dyDescent="0.25">
      <c r="A30" s="25"/>
      <c r="B30" s="2" t="s">
        <v>171</v>
      </c>
      <c r="C30" s="45">
        <v>2</v>
      </c>
      <c r="D30" s="27" t="s">
        <v>10</v>
      </c>
      <c r="E30" s="55"/>
      <c r="F30" s="34">
        <f t="shared" si="0"/>
        <v>0</v>
      </c>
    </row>
    <row r="31" spans="1:6" ht="15" customHeight="1" x14ac:dyDescent="0.25">
      <c r="A31" s="25"/>
      <c r="B31" s="2" t="s">
        <v>229</v>
      </c>
      <c r="C31" s="45">
        <v>22</v>
      </c>
      <c r="D31" s="27" t="s">
        <v>10</v>
      </c>
      <c r="E31" s="55"/>
      <c r="F31" s="34">
        <f t="shared" si="0"/>
        <v>0</v>
      </c>
    </row>
    <row r="32" spans="1:6" ht="15" customHeight="1" x14ac:dyDescent="0.25">
      <c r="A32" s="25"/>
      <c r="B32" s="2" t="s">
        <v>163</v>
      </c>
      <c r="C32" s="45">
        <v>16</v>
      </c>
      <c r="D32" s="27" t="s">
        <v>10</v>
      </c>
      <c r="E32" s="55"/>
      <c r="F32" s="34">
        <f t="shared" si="0"/>
        <v>0</v>
      </c>
    </row>
    <row r="33" spans="1:6" ht="15" customHeight="1" x14ac:dyDescent="0.25">
      <c r="A33" s="25"/>
      <c r="B33" s="2" t="s">
        <v>164</v>
      </c>
      <c r="C33" s="45">
        <v>6</v>
      </c>
      <c r="D33" s="27" t="s">
        <v>10</v>
      </c>
      <c r="E33" s="55"/>
      <c r="F33" s="34">
        <f t="shared" si="0"/>
        <v>0</v>
      </c>
    </row>
    <row r="34" spans="1:6" ht="15" customHeight="1" x14ac:dyDescent="0.25">
      <c r="A34" s="25"/>
      <c r="B34" s="2" t="s">
        <v>298</v>
      </c>
      <c r="C34" s="45">
        <v>1</v>
      </c>
      <c r="D34" s="27" t="s">
        <v>10</v>
      </c>
      <c r="E34" s="55"/>
      <c r="F34" s="34">
        <f t="shared" si="0"/>
        <v>0</v>
      </c>
    </row>
    <row r="35" spans="1:6" ht="15" customHeight="1" x14ac:dyDescent="0.25">
      <c r="A35" s="25"/>
      <c r="B35" s="2" t="s">
        <v>230</v>
      </c>
      <c r="C35" s="45">
        <v>2</v>
      </c>
      <c r="D35" s="27" t="s">
        <v>10</v>
      </c>
      <c r="E35" s="55"/>
      <c r="F35" s="34">
        <f t="shared" si="0"/>
        <v>0</v>
      </c>
    </row>
    <row r="36" spans="1:6" ht="15" customHeight="1" x14ac:dyDescent="0.25">
      <c r="A36" s="25"/>
      <c r="B36" s="2" t="s">
        <v>165</v>
      </c>
      <c r="C36" s="45">
        <v>8</v>
      </c>
      <c r="D36" s="27" t="s">
        <v>10</v>
      </c>
      <c r="E36" s="55"/>
      <c r="F36" s="34">
        <f t="shared" si="0"/>
        <v>0</v>
      </c>
    </row>
    <row r="37" spans="1:6" ht="15" customHeight="1" x14ac:dyDescent="0.25">
      <c r="A37" s="25"/>
      <c r="B37" s="2" t="s">
        <v>166</v>
      </c>
      <c r="C37" s="45">
        <v>3</v>
      </c>
      <c r="D37" s="27" t="s">
        <v>10</v>
      </c>
      <c r="E37" s="55"/>
      <c r="F37" s="34">
        <f t="shared" si="0"/>
        <v>0</v>
      </c>
    </row>
    <row r="38" spans="1:6" ht="15" customHeight="1" x14ac:dyDescent="0.25">
      <c r="A38" s="25"/>
      <c r="B38" s="2" t="s">
        <v>167</v>
      </c>
      <c r="C38" s="45">
        <v>4</v>
      </c>
      <c r="D38" s="27" t="s">
        <v>10</v>
      </c>
      <c r="E38" s="55"/>
      <c r="F38" s="34">
        <f t="shared" si="0"/>
        <v>0</v>
      </c>
    </row>
    <row r="39" spans="1:6" ht="15" customHeight="1" x14ac:dyDescent="0.25">
      <c r="A39" s="25"/>
      <c r="B39" s="2" t="s">
        <v>299</v>
      </c>
      <c r="C39" s="45">
        <v>4</v>
      </c>
      <c r="D39" s="27" t="s">
        <v>10</v>
      </c>
      <c r="E39" s="55"/>
      <c r="F39" s="34">
        <f t="shared" si="0"/>
        <v>0</v>
      </c>
    </row>
    <row r="40" spans="1:6" ht="15" customHeight="1" x14ac:dyDescent="0.25">
      <c r="A40" s="25"/>
      <c r="B40" s="2" t="s">
        <v>300</v>
      </c>
      <c r="C40" s="45">
        <v>2</v>
      </c>
      <c r="D40" s="27" t="s">
        <v>10</v>
      </c>
      <c r="E40" s="55"/>
      <c r="F40" s="34">
        <f t="shared" si="0"/>
        <v>0</v>
      </c>
    </row>
    <row r="41" spans="1:6" ht="15" customHeight="1" x14ac:dyDescent="0.25">
      <c r="A41" s="25"/>
      <c r="B41" s="2" t="s">
        <v>301</v>
      </c>
      <c r="C41" s="45">
        <v>1</v>
      </c>
      <c r="D41" s="27"/>
      <c r="E41" s="55"/>
      <c r="F41" s="34"/>
    </row>
    <row r="42" spans="1:6" s="50" customFormat="1" ht="12.75" x14ac:dyDescent="0.2">
      <c r="A42" s="149"/>
      <c r="B42" s="157"/>
      <c r="C42" s="161"/>
      <c r="D42" s="162"/>
      <c r="E42" s="163"/>
      <c r="F42" s="164"/>
    </row>
    <row r="43" spans="1:6" x14ac:dyDescent="0.25">
      <c r="A43" s="176">
        <v>10.199999999999999</v>
      </c>
      <c r="B43" s="242" t="s">
        <v>282</v>
      </c>
      <c r="C43" s="243"/>
      <c r="D43" s="243"/>
      <c r="E43" s="243"/>
      <c r="F43" s="32">
        <f>SUM(F46:F62)</f>
        <v>0</v>
      </c>
    </row>
    <row r="44" spans="1:6" x14ac:dyDescent="0.25">
      <c r="A44" s="170"/>
      <c r="B44" s="171"/>
      <c r="C44" s="172"/>
      <c r="D44" s="173"/>
      <c r="E44" s="174"/>
      <c r="F44" s="175"/>
    </row>
    <row r="45" spans="1:6" x14ac:dyDescent="0.25">
      <c r="A45" s="60">
        <v>1</v>
      </c>
      <c r="B45" s="14" t="s">
        <v>36</v>
      </c>
      <c r="C45" s="45"/>
      <c r="D45" s="27"/>
      <c r="E45" s="55"/>
      <c r="F45" s="34" t="str">
        <f t="shared" ref="F45:F61" si="1">IF(E45="",IF(C45="","",C45*E45),C45*E45)</f>
        <v/>
      </c>
    </row>
    <row r="46" spans="1:6" ht="76.5" x14ac:dyDescent="0.25">
      <c r="A46" s="25"/>
      <c r="B46" s="36" t="s">
        <v>44</v>
      </c>
      <c r="C46" s="216">
        <v>1</v>
      </c>
      <c r="D46" s="217" t="s">
        <v>24</v>
      </c>
      <c r="E46" s="218"/>
      <c r="F46" s="34">
        <f t="shared" si="1"/>
        <v>0</v>
      </c>
    </row>
    <row r="47" spans="1:6" x14ac:dyDescent="0.25">
      <c r="A47" s="35"/>
      <c r="B47" s="36"/>
      <c r="C47" s="45"/>
      <c r="D47" s="27"/>
      <c r="E47" s="55"/>
      <c r="F47" s="34" t="str">
        <f t="shared" si="1"/>
        <v/>
      </c>
    </row>
    <row r="48" spans="1:6" ht="63.75" customHeight="1" x14ac:dyDescent="0.25">
      <c r="A48" s="60">
        <v>2</v>
      </c>
      <c r="B48" s="14" t="s">
        <v>35</v>
      </c>
      <c r="C48" s="45"/>
      <c r="D48" s="27"/>
      <c r="E48" s="55"/>
      <c r="F48" s="34" t="str">
        <f t="shared" si="1"/>
        <v/>
      </c>
    </row>
    <row r="49" spans="1:6" ht="15" customHeight="1" x14ac:dyDescent="0.25">
      <c r="A49" s="25"/>
      <c r="B49" s="2" t="s">
        <v>293</v>
      </c>
      <c r="C49" s="45">
        <v>1</v>
      </c>
      <c r="D49" s="27" t="s">
        <v>10</v>
      </c>
      <c r="E49" s="55"/>
      <c r="F49" s="34">
        <f t="shared" si="1"/>
        <v>0</v>
      </c>
    </row>
    <row r="50" spans="1:6" ht="15" customHeight="1" x14ac:dyDescent="0.25">
      <c r="A50" s="25"/>
      <c r="B50" s="2" t="s">
        <v>294</v>
      </c>
      <c r="C50" s="45">
        <v>46</v>
      </c>
      <c r="D50" s="27" t="s">
        <v>10</v>
      </c>
      <c r="E50" s="55"/>
      <c r="F50" s="34">
        <f t="shared" si="1"/>
        <v>0</v>
      </c>
    </row>
    <row r="51" spans="1:6" ht="15" customHeight="1" x14ac:dyDescent="0.25">
      <c r="A51" s="25"/>
      <c r="B51" s="2" t="s">
        <v>297</v>
      </c>
      <c r="C51" s="45">
        <v>34</v>
      </c>
      <c r="D51" s="27" t="s">
        <v>10</v>
      </c>
      <c r="E51" s="55"/>
      <c r="F51" s="34">
        <f t="shared" si="1"/>
        <v>0</v>
      </c>
    </row>
    <row r="52" spans="1:6" ht="15" customHeight="1" x14ac:dyDescent="0.25">
      <c r="A52" s="25"/>
      <c r="B52" s="2" t="s">
        <v>302</v>
      </c>
      <c r="C52" s="45">
        <v>4</v>
      </c>
      <c r="D52" s="27" t="s">
        <v>10</v>
      </c>
      <c r="E52" s="55"/>
      <c r="F52" s="34">
        <f t="shared" si="1"/>
        <v>0</v>
      </c>
    </row>
    <row r="53" spans="1:6" ht="15" customHeight="1" x14ac:dyDescent="0.25">
      <c r="A53" s="25"/>
      <c r="B53" s="2" t="s">
        <v>169</v>
      </c>
      <c r="C53" s="45">
        <v>1</v>
      </c>
      <c r="D53" s="27" t="s">
        <v>10</v>
      </c>
      <c r="E53" s="55"/>
      <c r="F53" s="34">
        <f t="shared" si="1"/>
        <v>0</v>
      </c>
    </row>
    <row r="54" spans="1:6" ht="15" customHeight="1" x14ac:dyDescent="0.25">
      <c r="A54" s="25"/>
      <c r="B54" s="2" t="s">
        <v>171</v>
      </c>
      <c r="C54" s="45">
        <v>3</v>
      </c>
      <c r="D54" s="27" t="s">
        <v>10</v>
      </c>
      <c r="E54" s="55"/>
      <c r="F54" s="34">
        <f t="shared" si="1"/>
        <v>0</v>
      </c>
    </row>
    <row r="55" spans="1:6" ht="15" customHeight="1" x14ac:dyDescent="0.25">
      <c r="A55" s="25"/>
      <c r="B55" s="2" t="s">
        <v>229</v>
      </c>
      <c r="C55" s="45">
        <v>17</v>
      </c>
      <c r="D55" s="27" t="s">
        <v>10</v>
      </c>
      <c r="E55" s="55"/>
      <c r="F55" s="34">
        <f t="shared" si="1"/>
        <v>0</v>
      </c>
    </row>
    <row r="56" spans="1:6" ht="15" customHeight="1" x14ac:dyDescent="0.25">
      <c r="A56" s="25"/>
      <c r="B56" s="2" t="s">
        <v>163</v>
      </c>
      <c r="C56" s="45">
        <v>4</v>
      </c>
      <c r="D56" s="27" t="s">
        <v>10</v>
      </c>
      <c r="E56" s="55"/>
      <c r="F56" s="34">
        <f t="shared" si="1"/>
        <v>0</v>
      </c>
    </row>
    <row r="57" spans="1:6" ht="15" customHeight="1" x14ac:dyDescent="0.25">
      <c r="A57" s="25"/>
      <c r="B57" s="2" t="s">
        <v>164</v>
      </c>
      <c r="C57" s="45">
        <v>2</v>
      </c>
      <c r="D57" s="27" t="s">
        <v>10</v>
      </c>
      <c r="E57" s="55"/>
      <c r="F57" s="34">
        <f t="shared" si="1"/>
        <v>0</v>
      </c>
    </row>
    <row r="58" spans="1:6" ht="15" customHeight="1" x14ac:dyDescent="0.25">
      <c r="A58" s="25"/>
      <c r="B58" s="2" t="s">
        <v>165</v>
      </c>
      <c r="C58" s="45">
        <v>8</v>
      </c>
      <c r="D58" s="27" t="s">
        <v>10</v>
      </c>
      <c r="E58" s="55"/>
      <c r="F58" s="34">
        <f t="shared" si="1"/>
        <v>0</v>
      </c>
    </row>
    <row r="59" spans="1:6" ht="15" customHeight="1" x14ac:dyDescent="0.25">
      <c r="A59" s="25"/>
      <c r="B59" s="2" t="s">
        <v>166</v>
      </c>
      <c r="C59" s="45">
        <v>2</v>
      </c>
      <c r="D59" s="27" t="s">
        <v>10</v>
      </c>
      <c r="E59" s="55"/>
      <c r="F59" s="34">
        <f t="shared" si="1"/>
        <v>0</v>
      </c>
    </row>
    <row r="60" spans="1:6" ht="15" customHeight="1" x14ac:dyDescent="0.25">
      <c r="A60" s="25"/>
      <c r="B60" s="2" t="s">
        <v>167</v>
      </c>
      <c r="C60" s="45">
        <v>2</v>
      </c>
      <c r="D60" s="27" t="s">
        <v>10</v>
      </c>
      <c r="E60" s="55"/>
      <c r="F60" s="34">
        <f t="shared" si="1"/>
        <v>0</v>
      </c>
    </row>
    <row r="61" spans="1:6" ht="15" customHeight="1" x14ac:dyDescent="0.25">
      <c r="A61" s="25"/>
      <c r="B61" s="2" t="s">
        <v>299</v>
      </c>
      <c r="C61" s="45">
        <v>4</v>
      </c>
      <c r="D61" s="27" t="s">
        <v>10</v>
      </c>
      <c r="E61" s="55"/>
      <c r="F61" s="34">
        <f t="shared" si="1"/>
        <v>0</v>
      </c>
    </row>
    <row r="62" spans="1:6" s="50" customFormat="1" ht="12.75" x14ac:dyDescent="0.2">
      <c r="A62" s="149"/>
      <c r="B62" s="157"/>
      <c r="C62" s="161"/>
      <c r="D62" s="162"/>
      <c r="E62" s="163"/>
      <c r="F62" s="164"/>
    </row>
    <row r="63" spans="1:6" x14ac:dyDescent="0.25">
      <c r="A63" s="176">
        <v>10.3</v>
      </c>
      <c r="B63" s="242" t="s">
        <v>63</v>
      </c>
      <c r="C63" s="243"/>
      <c r="D63" s="243"/>
      <c r="E63" s="243"/>
      <c r="F63" s="32">
        <f>SUM(F66:F71)</f>
        <v>0</v>
      </c>
    </row>
    <row r="64" spans="1:6" x14ac:dyDescent="0.25">
      <c r="A64" s="170"/>
      <c r="B64" s="171"/>
      <c r="C64" s="172"/>
      <c r="D64" s="173"/>
      <c r="E64" s="174"/>
      <c r="F64" s="175"/>
    </row>
    <row r="65" spans="1:6" x14ac:dyDescent="0.25">
      <c r="A65" s="60">
        <v>1</v>
      </c>
      <c r="B65" s="14" t="s">
        <v>36</v>
      </c>
      <c r="C65" s="45"/>
      <c r="D65" s="27"/>
      <c r="E65" s="55"/>
      <c r="F65" s="34" t="str">
        <f t="shared" ref="F65:F69" si="2">IF(E65="",IF(C65="","",C65*E65),C65*E65)</f>
        <v/>
      </c>
    </row>
    <row r="66" spans="1:6" ht="76.5" x14ac:dyDescent="0.25">
      <c r="A66" s="25"/>
      <c r="B66" s="36" t="s">
        <v>44</v>
      </c>
      <c r="C66" s="216">
        <v>1</v>
      </c>
      <c r="D66" s="217" t="s">
        <v>24</v>
      </c>
      <c r="E66" s="218"/>
      <c r="F66" s="34">
        <f t="shared" si="2"/>
        <v>0</v>
      </c>
    </row>
    <row r="67" spans="1:6" x14ac:dyDescent="0.25">
      <c r="A67" s="35"/>
      <c r="B67" s="36"/>
      <c r="C67" s="45"/>
      <c r="D67" s="27"/>
      <c r="E67" s="55"/>
      <c r="F67" s="34" t="str">
        <f t="shared" si="2"/>
        <v/>
      </c>
    </row>
    <row r="68" spans="1:6" ht="63.75" customHeight="1" x14ac:dyDescent="0.25">
      <c r="A68" s="60">
        <v>2</v>
      </c>
      <c r="B68" s="14" t="s">
        <v>35</v>
      </c>
      <c r="C68" s="45"/>
      <c r="D68" s="27"/>
      <c r="E68" s="55"/>
      <c r="F68" s="34" t="str">
        <f t="shared" si="2"/>
        <v/>
      </c>
    </row>
    <row r="69" spans="1:6" ht="15" customHeight="1" x14ac:dyDescent="0.25">
      <c r="A69" s="25"/>
      <c r="B69" s="2" t="s">
        <v>304</v>
      </c>
      <c r="C69" s="246">
        <v>61.43</v>
      </c>
      <c r="D69" s="27" t="s">
        <v>303</v>
      </c>
      <c r="E69" s="55"/>
      <c r="F69" s="34">
        <f t="shared" si="2"/>
        <v>0</v>
      </c>
    </row>
    <row r="70" spans="1:6" ht="25.5" x14ac:dyDescent="0.25">
      <c r="A70" s="25"/>
      <c r="B70" s="2" t="s">
        <v>305</v>
      </c>
      <c r="C70" s="246">
        <v>29.36</v>
      </c>
      <c r="D70" s="27" t="s">
        <v>303</v>
      </c>
      <c r="E70" s="55"/>
      <c r="F70" s="34">
        <f t="shared" ref="F70" si="3">IF(E70="",IF(C70="","",C70*E70),C70*E70)</f>
        <v>0</v>
      </c>
    </row>
    <row r="71" spans="1:6" x14ac:dyDescent="0.25">
      <c r="A71" s="30"/>
      <c r="B71" s="14"/>
      <c r="C71" s="31"/>
      <c r="D71" s="27"/>
      <c r="E71" s="17"/>
      <c r="F71" s="34" t="str">
        <f>IF(E71="","",C71*E71)</f>
        <v/>
      </c>
    </row>
    <row r="72" spans="1:6" x14ac:dyDescent="0.25">
      <c r="A72" s="145"/>
      <c r="B72" s="146"/>
      <c r="C72" s="146"/>
      <c r="D72" s="146"/>
      <c r="E72" s="146"/>
      <c r="F72" s="147" t="s">
        <v>186</v>
      </c>
    </row>
  </sheetData>
  <mergeCells count="2">
    <mergeCell ref="B2:E2"/>
    <mergeCell ref="B11:E11"/>
  </mergeCells>
  <pageMargins left="0.7" right="0.7" top="0.75" bottom="0.75" header="0.3" footer="0.3"/>
  <pageSetup paperSize="9" scale="73"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view="pageBreakPreview" zoomScale="85" zoomScaleNormal="85" zoomScaleSheetLayoutView="85" workbookViewId="0">
      <selection activeCell="F12" sqref="F12"/>
    </sheetView>
  </sheetViews>
  <sheetFormatPr defaultRowHeight="15" x14ac:dyDescent="0.25"/>
  <cols>
    <col min="1" max="1" width="5.85546875" bestFit="1" customWidth="1"/>
    <col min="2" max="2" width="37" customWidth="1"/>
    <col min="3" max="3" width="5.5703125" customWidth="1"/>
    <col min="4" max="4" width="6.42578125" customWidth="1"/>
    <col min="5" max="5" width="15.28515625" customWidth="1"/>
    <col min="6" max="6" width="17.7109375" customWidth="1"/>
    <col min="14" max="16" width="13.28515625" bestFit="1" customWidth="1"/>
    <col min="17" max="17" width="15.28515625" bestFit="1" customWidth="1"/>
  </cols>
  <sheetData>
    <row r="1" spans="1:6" x14ac:dyDescent="0.25">
      <c r="A1" s="5" t="s">
        <v>11</v>
      </c>
      <c r="B1" s="6" t="s">
        <v>12</v>
      </c>
      <c r="C1" s="7" t="s">
        <v>13</v>
      </c>
      <c r="D1" s="8" t="s">
        <v>14</v>
      </c>
      <c r="E1" s="6" t="s">
        <v>138</v>
      </c>
      <c r="F1" s="9" t="s">
        <v>15</v>
      </c>
    </row>
    <row r="2" spans="1:6" ht="15.75" customHeight="1" thickBot="1" x14ac:dyDescent="0.3">
      <c r="A2" s="10">
        <v>11</v>
      </c>
      <c r="B2" s="253" t="s">
        <v>119</v>
      </c>
      <c r="C2" s="254"/>
      <c r="D2" s="254"/>
      <c r="E2" s="254"/>
      <c r="F2" s="59"/>
    </row>
    <row r="3" spans="1:6" s="50" customFormat="1" ht="13.5" thickTop="1" x14ac:dyDescent="0.2">
      <c r="A3" s="19"/>
      <c r="B3" s="165"/>
      <c r="C3" s="166"/>
      <c r="D3" s="167"/>
      <c r="E3" s="168"/>
      <c r="F3" s="169"/>
    </row>
    <row r="4" spans="1:6" x14ac:dyDescent="0.25">
      <c r="A4" s="176">
        <v>11.1</v>
      </c>
      <c r="B4" s="267" t="s">
        <v>139</v>
      </c>
      <c r="C4" s="268"/>
      <c r="D4" s="268"/>
      <c r="E4" s="268"/>
      <c r="F4" s="32"/>
    </row>
    <row r="5" spans="1:6" x14ac:dyDescent="0.25">
      <c r="A5" s="170"/>
      <c r="B5" s="171"/>
      <c r="C5" s="172"/>
      <c r="D5" s="173"/>
      <c r="E5" s="174"/>
      <c r="F5" s="175"/>
    </row>
    <row r="6" spans="1:6" s="44" customFormat="1" ht="100.5" customHeight="1" x14ac:dyDescent="0.2">
      <c r="A6" s="149" t="s">
        <v>29</v>
      </c>
      <c r="B6" s="157" t="s">
        <v>140</v>
      </c>
      <c r="C6" s="185"/>
      <c r="D6" s="152"/>
      <c r="E6" s="186"/>
      <c r="F6" s="187"/>
    </row>
    <row r="7" spans="1:6" x14ac:dyDescent="0.25">
      <c r="A7" s="230">
        <v>11.2</v>
      </c>
      <c r="B7" s="180" t="s">
        <v>172</v>
      </c>
      <c r="C7" s="181"/>
      <c r="D7" s="182"/>
      <c r="E7" s="183"/>
      <c r="F7" s="184">
        <f>SUM(F9:F11)</f>
        <v>0</v>
      </c>
    </row>
    <row r="9" spans="1:6" ht="26.25" x14ac:dyDescent="0.25">
      <c r="A9" s="25"/>
      <c r="B9" s="58" t="s">
        <v>306</v>
      </c>
      <c r="C9" s="45">
        <v>8</v>
      </c>
      <c r="D9" s="27" t="s">
        <v>24</v>
      </c>
      <c r="E9" s="55"/>
      <c r="F9" s="34">
        <f>IF(E9="",IF(C9="","",C9*E9),C9*E9)</f>
        <v>0</v>
      </c>
    </row>
    <row r="10" spans="1:6" x14ac:dyDescent="0.25">
      <c r="A10" s="25"/>
      <c r="B10" s="58" t="s">
        <v>307</v>
      </c>
      <c r="C10" s="45">
        <v>12</v>
      </c>
      <c r="D10" s="27" t="s">
        <v>24</v>
      </c>
      <c r="E10" s="55"/>
      <c r="F10" s="34">
        <f>IF(E10="",IF(C10="","",C10*E10),C10*E10)</f>
        <v>0</v>
      </c>
    </row>
    <row r="11" spans="1:6" x14ac:dyDescent="0.25">
      <c r="A11" s="25"/>
      <c r="B11" s="58"/>
      <c r="C11" s="45"/>
      <c r="D11" s="27"/>
      <c r="E11" s="55"/>
      <c r="F11" s="34" t="str">
        <f>IF(E11="","",C11*E11)</f>
        <v/>
      </c>
    </row>
    <row r="12" spans="1:6" x14ac:dyDescent="0.25">
      <c r="A12" s="230">
        <v>11.3</v>
      </c>
      <c r="B12" s="180" t="s">
        <v>308</v>
      </c>
      <c r="C12" s="181"/>
      <c r="D12" s="182"/>
      <c r="E12" s="183"/>
      <c r="F12" s="184">
        <f>SUM(F14:F16)</f>
        <v>0</v>
      </c>
    </row>
    <row r="14" spans="1:6" ht="26.25" x14ac:dyDescent="0.25">
      <c r="A14" s="25"/>
      <c r="B14" s="58" t="s">
        <v>306</v>
      </c>
      <c r="C14" s="45">
        <v>8</v>
      </c>
      <c r="D14" s="27" t="s">
        <v>24</v>
      </c>
      <c r="E14" s="55"/>
      <c r="F14" s="34">
        <f>IF(E14="",IF(C14="","",C14*E14),C14*E14)</f>
        <v>0</v>
      </c>
    </row>
    <row r="15" spans="1:6" x14ac:dyDescent="0.25">
      <c r="A15" s="25"/>
      <c r="B15" s="58" t="s">
        <v>307</v>
      </c>
      <c r="C15" s="45">
        <v>2</v>
      </c>
      <c r="D15" s="27" t="s">
        <v>24</v>
      </c>
      <c r="E15" s="55"/>
      <c r="F15" s="34">
        <f>IF(E15="",IF(C15="","",C15*E15),C15*E15)</f>
        <v>0</v>
      </c>
    </row>
    <row r="16" spans="1:6" x14ac:dyDescent="0.25">
      <c r="A16" s="30"/>
      <c r="B16" s="14"/>
      <c r="C16" s="31"/>
      <c r="D16" s="27"/>
      <c r="E16" s="17"/>
      <c r="F16" s="34" t="str">
        <f>IF(E16="","",C16*E16)</f>
        <v/>
      </c>
    </row>
    <row r="17" spans="1:17" x14ac:dyDescent="0.25">
      <c r="A17" s="145"/>
      <c r="B17" s="146"/>
      <c r="C17" s="146"/>
      <c r="D17" s="146"/>
      <c r="E17" s="146"/>
      <c r="F17" s="147" t="s">
        <v>187</v>
      </c>
    </row>
    <row r="21" spans="1:17" x14ac:dyDescent="0.25">
      <c r="P21" s="1"/>
    </row>
    <row r="27" spans="1:17" x14ac:dyDescent="0.25">
      <c r="Q27" s="3"/>
    </row>
    <row r="28" spans="1:17" x14ac:dyDescent="0.25">
      <c r="Q28" s="3"/>
    </row>
    <row r="29" spans="1:17" x14ac:dyDescent="0.25">
      <c r="P29" s="3"/>
    </row>
    <row r="30" spans="1:17" x14ac:dyDescent="0.25">
      <c r="N30" s="1"/>
      <c r="P30" s="3"/>
    </row>
    <row r="31" spans="1:17" x14ac:dyDescent="0.25">
      <c r="P31" s="3"/>
    </row>
    <row r="36" spans="15:15" x14ac:dyDescent="0.25">
      <c r="O36" s="1"/>
    </row>
  </sheetData>
  <mergeCells count="2">
    <mergeCell ref="B2:E2"/>
    <mergeCell ref="B4:E4"/>
  </mergeCells>
  <pageMargins left="0.7" right="0.7" top="0.75" bottom="0.75" header="0.3" footer="0.3"/>
  <pageSetup paperSize="9" scale="85" fitToHeight="0" orientation="portrait" r:id="rId1"/>
  <headerFooter>
    <oddHeader>&amp;L&amp;A</oddHeader>
    <oddFooter>&amp;R&amp;P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election activeCell="M35" sqref="M35"/>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6" x14ac:dyDescent="0.25">
      <c r="A1" s="5" t="s">
        <v>11</v>
      </c>
      <c r="B1" s="6" t="s">
        <v>12</v>
      </c>
      <c r="C1" s="7" t="s">
        <v>13</v>
      </c>
      <c r="D1" s="8" t="s">
        <v>14</v>
      </c>
      <c r="E1" s="6" t="s">
        <v>121</v>
      </c>
      <c r="F1" s="9" t="s">
        <v>15</v>
      </c>
    </row>
    <row r="2" spans="1:6" ht="15.75" thickBot="1" x14ac:dyDescent="0.3">
      <c r="A2" s="10">
        <v>12</v>
      </c>
      <c r="B2" s="262" t="s">
        <v>192</v>
      </c>
      <c r="C2" s="263"/>
      <c r="D2" s="263"/>
      <c r="E2" s="263"/>
      <c r="F2" s="11">
        <f>+SUM(F4:F56)</f>
        <v>0</v>
      </c>
    </row>
    <row r="3" spans="1:6" ht="15.75" thickTop="1" x14ac:dyDescent="0.25">
      <c r="A3" s="170"/>
      <c r="B3" s="171"/>
      <c r="C3" s="172"/>
      <c r="D3" s="173"/>
      <c r="E3" s="174"/>
      <c r="F3" s="175"/>
    </row>
    <row r="4" spans="1:6" x14ac:dyDescent="0.25">
      <c r="A4" s="60">
        <v>1</v>
      </c>
      <c r="B4" s="14" t="s">
        <v>192</v>
      </c>
      <c r="C4" s="15"/>
      <c r="D4" s="16"/>
      <c r="E4" s="17"/>
      <c r="F4" s="34" t="str">
        <f t="shared" ref="F4:F56" si="0">IF(E4="","",C4*E4)</f>
        <v/>
      </c>
    </row>
    <row r="5" spans="1:6" x14ac:dyDescent="0.25">
      <c r="A5" s="60"/>
      <c r="B5" s="14"/>
      <c r="C5" s="15"/>
      <c r="D5" s="16"/>
      <c r="E5" s="17"/>
      <c r="F5" s="34" t="str">
        <f t="shared" si="0"/>
        <v/>
      </c>
    </row>
    <row r="6" spans="1:6" x14ac:dyDescent="0.25">
      <c r="A6" s="60"/>
      <c r="B6" s="14"/>
      <c r="C6" s="15"/>
      <c r="D6" s="16"/>
      <c r="E6" s="17"/>
      <c r="F6" s="34" t="str">
        <f t="shared" si="0"/>
        <v/>
      </c>
    </row>
    <row r="7" spans="1:6" x14ac:dyDescent="0.25">
      <c r="A7" s="60"/>
      <c r="B7" s="14"/>
      <c r="C7" s="15"/>
      <c r="D7" s="16"/>
      <c r="E7" s="17"/>
      <c r="F7" s="34" t="str">
        <f t="shared" si="0"/>
        <v/>
      </c>
    </row>
    <row r="8" spans="1:6" x14ac:dyDescent="0.25">
      <c r="A8" s="60"/>
      <c r="B8" s="14"/>
      <c r="C8" s="15"/>
      <c r="D8" s="16"/>
      <c r="E8" s="17"/>
      <c r="F8" s="34" t="str">
        <f t="shared" si="0"/>
        <v/>
      </c>
    </row>
    <row r="9" spans="1:6" x14ac:dyDescent="0.25">
      <c r="A9" s="60"/>
      <c r="B9" s="14"/>
      <c r="C9" s="15"/>
      <c r="D9" s="16"/>
      <c r="E9" s="17"/>
      <c r="F9" s="34" t="str">
        <f t="shared" si="0"/>
        <v/>
      </c>
    </row>
    <row r="10" spans="1:6" x14ac:dyDescent="0.25">
      <c r="A10" s="60"/>
      <c r="B10" s="14"/>
      <c r="C10" s="15"/>
      <c r="D10" s="16"/>
      <c r="E10" s="17"/>
      <c r="F10" s="34" t="str">
        <f t="shared" si="0"/>
        <v/>
      </c>
    </row>
    <row r="11" spans="1:6" x14ac:dyDescent="0.25">
      <c r="A11" s="60"/>
      <c r="B11" s="14"/>
      <c r="C11" s="15"/>
      <c r="D11" s="16"/>
      <c r="E11" s="17"/>
      <c r="F11" s="34" t="str">
        <f t="shared" si="0"/>
        <v/>
      </c>
    </row>
    <row r="12" spans="1:6" x14ac:dyDescent="0.25">
      <c r="A12" s="60"/>
      <c r="B12" s="14"/>
      <c r="C12" s="15"/>
      <c r="D12" s="16"/>
      <c r="E12" s="17"/>
      <c r="F12" s="34" t="str">
        <f t="shared" si="0"/>
        <v/>
      </c>
    </row>
    <row r="13" spans="1:6" x14ac:dyDescent="0.25">
      <c r="A13" s="60"/>
      <c r="B13" s="14"/>
      <c r="C13" s="15"/>
      <c r="D13" s="16"/>
      <c r="E13" s="17"/>
      <c r="F13" s="34" t="str">
        <f t="shared" si="0"/>
        <v/>
      </c>
    </row>
    <row r="14" spans="1:6" x14ac:dyDescent="0.25">
      <c r="A14" s="60"/>
      <c r="B14" s="14"/>
      <c r="C14" s="15"/>
      <c r="D14" s="16"/>
      <c r="E14" s="17"/>
      <c r="F14" s="34" t="str">
        <f t="shared" si="0"/>
        <v/>
      </c>
    </row>
    <row r="15" spans="1:6" x14ac:dyDescent="0.25">
      <c r="A15" s="60"/>
      <c r="B15" s="14"/>
      <c r="C15" s="15"/>
      <c r="D15" s="16"/>
      <c r="E15" s="17"/>
      <c r="F15" s="34" t="str">
        <f t="shared" si="0"/>
        <v/>
      </c>
    </row>
    <row r="16" spans="1:6" x14ac:dyDescent="0.25">
      <c r="A16" s="60"/>
      <c r="B16" s="14"/>
      <c r="C16" s="15"/>
      <c r="D16" s="16"/>
      <c r="E16" s="17"/>
      <c r="F16" s="34" t="str">
        <f t="shared" si="0"/>
        <v/>
      </c>
    </row>
    <row r="17" spans="1:6" x14ac:dyDescent="0.25">
      <c r="A17" s="60"/>
      <c r="B17" s="14"/>
      <c r="C17" s="15"/>
      <c r="D17" s="16"/>
      <c r="E17" s="17"/>
      <c r="F17" s="34" t="str">
        <f t="shared" si="0"/>
        <v/>
      </c>
    </row>
    <row r="18" spans="1:6" x14ac:dyDescent="0.25">
      <c r="A18" s="60"/>
      <c r="B18" s="14"/>
      <c r="C18" s="15"/>
      <c r="D18" s="16"/>
      <c r="E18" s="17"/>
      <c r="F18" s="34" t="str">
        <f t="shared" si="0"/>
        <v/>
      </c>
    </row>
    <row r="19" spans="1:6" x14ac:dyDescent="0.25">
      <c r="A19" s="60"/>
      <c r="B19" s="14"/>
      <c r="C19" s="15"/>
      <c r="D19" s="16"/>
      <c r="E19" s="17"/>
      <c r="F19" s="34" t="str">
        <f t="shared" si="0"/>
        <v/>
      </c>
    </row>
    <row r="20" spans="1:6" x14ac:dyDescent="0.25">
      <c r="A20" s="60"/>
      <c r="B20" s="14"/>
      <c r="C20" s="15"/>
      <c r="D20" s="16"/>
      <c r="E20" s="17"/>
      <c r="F20" s="34" t="str">
        <f t="shared" si="0"/>
        <v/>
      </c>
    </row>
    <row r="21" spans="1:6" x14ac:dyDescent="0.25">
      <c r="A21" s="60"/>
      <c r="B21" s="14"/>
      <c r="C21" s="15"/>
      <c r="D21" s="16"/>
      <c r="E21" s="17"/>
      <c r="F21" s="34" t="str">
        <f t="shared" si="0"/>
        <v/>
      </c>
    </row>
    <row r="22" spans="1:6" x14ac:dyDescent="0.25">
      <c r="A22" s="60"/>
      <c r="B22" s="14"/>
      <c r="C22" s="15"/>
      <c r="D22" s="16"/>
      <c r="E22" s="17"/>
      <c r="F22" s="34" t="str">
        <f t="shared" si="0"/>
        <v/>
      </c>
    </row>
    <row r="23" spans="1:6" x14ac:dyDescent="0.25">
      <c r="A23" s="60"/>
      <c r="B23" s="14"/>
      <c r="C23" s="15"/>
      <c r="D23" s="16"/>
      <c r="E23" s="17"/>
      <c r="F23" s="34" t="str">
        <f t="shared" si="0"/>
        <v/>
      </c>
    </row>
    <row r="24" spans="1:6" x14ac:dyDescent="0.25">
      <c r="A24" s="60"/>
      <c r="B24" s="14"/>
      <c r="C24" s="15"/>
      <c r="D24" s="16"/>
      <c r="E24" s="17"/>
      <c r="F24" s="34" t="str">
        <f t="shared" si="0"/>
        <v/>
      </c>
    </row>
    <row r="25" spans="1:6" x14ac:dyDescent="0.25">
      <c r="A25" s="60"/>
      <c r="B25" s="14"/>
      <c r="C25" s="15"/>
      <c r="D25" s="16"/>
      <c r="E25" s="17"/>
      <c r="F25" s="34" t="str">
        <f t="shared" si="0"/>
        <v/>
      </c>
    </row>
    <row r="26" spans="1:6" x14ac:dyDescent="0.25">
      <c r="A26" s="60"/>
      <c r="B26" s="14"/>
      <c r="C26" s="15"/>
      <c r="D26" s="16"/>
      <c r="E26" s="17"/>
      <c r="F26" s="34" t="str">
        <f t="shared" si="0"/>
        <v/>
      </c>
    </row>
    <row r="27" spans="1:6" x14ac:dyDescent="0.25">
      <c r="A27" s="60"/>
      <c r="B27" s="14"/>
      <c r="C27" s="15"/>
      <c r="D27" s="16"/>
      <c r="E27" s="17"/>
      <c r="F27" s="34" t="str">
        <f t="shared" si="0"/>
        <v/>
      </c>
    </row>
    <row r="28" spans="1:6" x14ac:dyDescent="0.25">
      <c r="A28" s="60"/>
      <c r="B28" s="14"/>
      <c r="C28" s="15"/>
      <c r="D28" s="16"/>
      <c r="E28" s="17"/>
      <c r="F28" s="34" t="str">
        <f t="shared" si="0"/>
        <v/>
      </c>
    </row>
    <row r="29" spans="1:6" x14ac:dyDescent="0.25">
      <c r="A29" s="60"/>
      <c r="B29" s="14"/>
      <c r="C29" s="15"/>
      <c r="D29" s="16"/>
      <c r="E29" s="17"/>
      <c r="F29" s="34" t="str">
        <f t="shared" si="0"/>
        <v/>
      </c>
    </row>
    <row r="30" spans="1:6" x14ac:dyDescent="0.25">
      <c r="A30" s="60"/>
      <c r="B30" s="14"/>
      <c r="C30" s="15"/>
      <c r="D30" s="16"/>
      <c r="E30" s="17"/>
      <c r="F30" s="34" t="str">
        <f t="shared" si="0"/>
        <v/>
      </c>
    </row>
    <row r="31" spans="1:6" x14ac:dyDescent="0.25">
      <c r="A31" s="60"/>
      <c r="B31" s="14"/>
      <c r="C31" s="15"/>
      <c r="D31" s="16"/>
      <c r="E31" s="17"/>
      <c r="F31" s="34" t="str">
        <f t="shared" si="0"/>
        <v/>
      </c>
    </row>
    <row r="32" spans="1:6" x14ac:dyDescent="0.25">
      <c r="A32" s="60"/>
      <c r="B32" s="14"/>
      <c r="C32" s="15"/>
      <c r="D32" s="16"/>
      <c r="E32" s="17"/>
      <c r="F32" s="34" t="str">
        <f t="shared" si="0"/>
        <v/>
      </c>
    </row>
    <row r="33" spans="1:6" x14ac:dyDescent="0.25">
      <c r="A33" s="60"/>
      <c r="B33" s="14"/>
      <c r="C33" s="15"/>
      <c r="D33" s="16"/>
      <c r="E33" s="17"/>
      <c r="F33" s="34" t="str">
        <f t="shared" si="0"/>
        <v/>
      </c>
    </row>
    <row r="34" spans="1:6" x14ac:dyDescent="0.25">
      <c r="A34" s="60"/>
      <c r="B34" s="14"/>
      <c r="C34" s="15"/>
      <c r="D34" s="16"/>
      <c r="E34" s="17"/>
      <c r="F34" s="34" t="str">
        <f t="shared" si="0"/>
        <v/>
      </c>
    </row>
    <row r="35" spans="1:6" x14ac:dyDescent="0.25">
      <c r="A35" s="60"/>
      <c r="B35" s="14"/>
      <c r="C35" s="15"/>
      <c r="D35" s="16"/>
      <c r="E35" s="17"/>
      <c r="F35" s="34" t="str">
        <f t="shared" si="0"/>
        <v/>
      </c>
    </row>
    <row r="36" spans="1:6" x14ac:dyDescent="0.25">
      <c r="A36" s="60"/>
      <c r="B36" s="14"/>
      <c r="C36" s="15"/>
      <c r="D36" s="16"/>
      <c r="E36" s="17"/>
      <c r="F36" s="34" t="str">
        <f t="shared" si="0"/>
        <v/>
      </c>
    </row>
    <row r="37" spans="1:6" x14ac:dyDescent="0.25">
      <c r="A37" s="60"/>
      <c r="B37" s="14"/>
      <c r="C37" s="15"/>
      <c r="D37" s="16"/>
      <c r="E37" s="17"/>
      <c r="F37" s="34" t="str">
        <f t="shared" si="0"/>
        <v/>
      </c>
    </row>
    <row r="38" spans="1:6" x14ac:dyDescent="0.25">
      <c r="A38" s="60"/>
      <c r="B38" s="14"/>
      <c r="C38" s="15"/>
      <c r="D38" s="16"/>
      <c r="E38" s="17"/>
      <c r="F38" s="34" t="str">
        <f t="shared" si="0"/>
        <v/>
      </c>
    </row>
    <row r="39" spans="1:6" x14ac:dyDescent="0.25">
      <c r="A39" s="60"/>
      <c r="B39" s="14"/>
      <c r="C39" s="15"/>
      <c r="D39" s="16"/>
      <c r="E39" s="17"/>
      <c r="F39" s="34" t="str">
        <f t="shared" si="0"/>
        <v/>
      </c>
    </row>
    <row r="40" spans="1:6" x14ac:dyDescent="0.25">
      <c r="A40" s="60"/>
      <c r="B40" s="14"/>
      <c r="C40" s="15"/>
      <c r="D40" s="16"/>
      <c r="E40" s="17"/>
      <c r="F40" s="34" t="str">
        <f t="shared" si="0"/>
        <v/>
      </c>
    </row>
    <row r="41" spans="1:6" x14ac:dyDescent="0.25">
      <c r="A41" s="60"/>
      <c r="B41" s="14"/>
      <c r="C41" s="15"/>
      <c r="D41" s="16"/>
      <c r="E41" s="17"/>
      <c r="F41" s="34" t="str">
        <f t="shared" si="0"/>
        <v/>
      </c>
    </row>
    <row r="42" spans="1:6" x14ac:dyDescent="0.25">
      <c r="A42" s="60"/>
      <c r="B42" s="14"/>
      <c r="C42" s="15"/>
      <c r="D42" s="16"/>
      <c r="E42" s="17"/>
      <c r="F42" s="34" t="str">
        <f t="shared" si="0"/>
        <v/>
      </c>
    </row>
    <row r="43" spans="1:6" x14ac:dyDescent="0.25">
      <c r="A43" s="60"/>
      <c r="B43" s="14"/>
      <c r="C43" s="15"/>
      <c r="D43" s="16"/>
      <c r="E43" s="17"/>
      <c r="F43" s="34" t="str">
        <f t="shared" si="0"/>
        <v/>
      </c>
    </row>
    <row r="44" spans="1:6" x14ac:dyDescent="0.25">
      <c r="A44" s="60"/>
      <c r="B44" s="14"/>
      <c r="C44" s="15"/>
      <c r="D44" s="16"/>
      <c r="E44" s="17"/>
      <c r="F44" s="34" t="str">
        <f t="shared" si="0"/>
        <v/>
      </c>
    </row>
    <row r="45" spans="1:6" x14ac:dyDescent="0.25">
      <c r="A45" s="60"/>
      <c r="B45" s="14"/>
      <c r="C45" s="15"/>
      <c r="D45" s="16"/>
      <c r="E45" s="17"/>
      <c r="F45" s="34" t="str">
        <f t="shared" si="0"/>
        <v/>
      </c>
    </row>
    <row r="46" spans="1:6" x14ac:dyDescent="0.25">
      <c r="A46" s="60"/>
      <c r="B46" s="14"/>
      <c r="C46" s="15"/>
      <c r="D46" s="16"/>
      <c r="E46" s="17"/>
      <c r="F46" s="34" t="str">
        <f t="shared" si="0"/>
        <v/>
      </c>
    </row>
    <row r="47" spans="1:6" x14ac:dyDescent="0.25">
      <c r="A47" s="60"/>
      <c r="B47" s="14"/>
      <c r="C47" s="15"/>
      <c r="D47" s="16"/>
      <c r="E47" s="17"/>
      <c r="F47" s="34" t="str">
        <f t="shared" si="0"/>
        <v/>
      </c>
    </row>
    <row r="48" spans="1:6" x14ac:dyDescent="0.25">
      <c r="A48" s="60"/>
      <c r="B48" s="14"/>
      <c r="C48" s="15"/>
      <c r="D48" s="16"/>
      <c r="E48" s="17"/>
      <c r="F48" s="34" t="str">
        <f t="shared" si="0"/>
        <v/>
      </c>
    </row>
    <row r="49" spans="1:8" x14ac:dyDescent="0.25">
      <c r="A49" s="60"/>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0"/>
      <c r="H51" s="120"/>
    </row>
    <row r="52" spans="1:8" x14ac:dyDescent="0.25">
      <c r="A52" s="35"/>
      <c r="B52" s="36"/>
      <c r="C52" s="37"/>
      <c r="D52" s="27"/>
      <c r="E52" s="38"/>
      <c r="F52" s="34" t="str">
        <f t="shared" si="0"/>
        <v/>
      </c>
    </row>
    <row r="53" spans="1:8" x14ac:dyDescent="0.25">
      <c r="A53" s="60"/>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1"/>
      <c r="B57" s="2"/>
      <c r="C57" s="45"/>
      <c r="D57" s="27"/>
      <c r="E57" s="28"/>
      <c r="F57" s="34"/>
    </row>
    <row r="58" spans="1:8" x14ac:dyDescent="0.25">
      <c r="A58" s="145"/>
      <c r="B58" s="146"/>
      <c r="C58" s="146"/>
      <c r="D58" s="146"/>
      <c r="E58" s="146"/>
      <c r="F58" s="147" t="s">
        <v>191</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election activeCell="A3" sqref="A3"/>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6" x14ac:dyDescent="0.25">
      <c r="A1" s="5" t="s">
        <v>11</v>
      </c>
      <c r="B1" s="6" t="s">
        <v>12</v>
      </c>
      <c r="C1" s="7" t="s">
        <v>13</v>
      </c>
      <c r="D1" s="8" t="s">
        <v>14</v>
      </c>
      <c r="E1" s="6" t="s">
        <v>121</v>
      </c>
      <c r="F1" s="9" t="s">
        <v>15</v>
      </c>
    </row>
    <row r="2" spans="1:6" ht="15.75" thickBot="1" x14ac:dyDescent="0.3">
      <c r="A2" s="10">
        <v>13</v>
      </c>
      <c r="B2" s="262" t="s">
        <v>193</v>
      </c>
      <c r="C2" s="263"/>
      <c r="D2" s="263"/>
      <c r="E2" s="263"/>
      <c r="F2" s="11">
        <f>+SUM(F4:F56)</f>
        <v>0</v>
      </c>
    </row>
    <row r="3" spans="1:6" ht="15.75" thickTop="1" x14ac:dyDescent="0.25">
      <c r="A3" s="170"/>
      <c r="B3" s="171"/>
      <c r="C3" s="172"/>
      <c r="D3" s="173"/>
      <c r="E3" s="174"/>
      <c r="F3" s="175"/>
    </row>
    <row r="4" spans="1:6" x14ac:dyDescent="0.25">
      <c r="A4" s="60">
        <v>1</v>
      </c>
      <c r="B4" s="14" t="s">
        <v>193</v>
      </c>
      <c r="C4" s="15"/>
      <c r="D4" s="16"/>
      <c r="E4" s="17"/>
      <c r="F4" s="34" t="str">
        <f t="shared" ref="F4:F56" si="0">IF(E4="","",C4*E4)</f>
        <v/>
      </c>
    </row>
    <row r="5" spans="1:6" x14ac:dyDescent="0.25">
      <c r="A5" s="60"/>
      <c r="B5" s="14"/>
      <c r="C5" s="15"/>
      <c r="D5" s="16"/>
      <c r="E5" s="17"/>
      <c r="F5" s="34" t="str">
        <f t="shared" si="0"/>
        <v/>
      </c>
    </row>
    <row r="6" spans="1:6" x14ac:dyDescent="0.25">
      <c r="A6" s="60"/>
      <c r="B6" s="14"/>
      <c r="C6" s="15"/>
      <c r="D6" s="16"/>
      <c r="E6" s="17"/>
      <c r="F6" s="34" t="str">
        <f t="shared" si="0"/>
        <v/>
      </c>
    </row>
    <row r="7" spans="1:6" x14ac:dyDescent="0.25">
      <c r="A7" s="60"/>
      <c r="B7" s="14"/>
      <c r="C7" s="15"/>
      <c r="D7" s="16"/>
      <c r="E7" s="17"/>
      <c r="F7" s="34" t="str">
        <f t="shared" si="0"/>
        <v/>
      </c>
    </row>
    <row r="8" spans="1:6" x14ac:dyDescent="0.25">
      <c r="A8" s="60"/>
      <c r="B8" s="14"/>
      <c r="C8" s="15"/>
      <c r="D8" s="16"/>
      <c r="E8" s="17"/>
      <c r="F8" s="34" t="str">
        <f t="shared" si="0"/>
        <v/>
      </c>
    </row>
    <row r="9" spans="1:6" x14ac:dyDescent="0.25">
      <c r="A9" s="60"/>
      <c r="B9" s="14"/>
      <c r="C9" s="15"/>
      <c r="D9" s="16"/>
      <c r="E9" s="17"/>
      <c r="F9" s="34" t="str">
        <f t="shared" si="0"/>
        <v/>
      </c>
    </row>
    <row r="10" spans="1:6" x14ac:dyDescent="0.25">
      <c r="A10" s="60"/>
      <c r="B10" s="14"/>
      <c r="C10" s="15"/>
      <c r="D10" s="16"/>
      <c r="E10" s="17"/>
      <c r="F10" s="34" t="str">
        <f t="shared" si="0"/>
        <v/>
      </c>
    </row>
    <row r="11" spans="1:6" x14ac:dyDescent="0.25">
      <c r="A11" s="60"/>
      <c r="B11" s="14"/>
      <c r="C11" s="15"/>
      <c r="D11" s="16"/>
      <c r="E11" s="17"/>
      <c r="F11" s="34" t="str">
        <f t="shared" si="0"/>
        <v/>
      </c>
    </row>
    <row r="12" spans="1:6" x14ac:dyDescent="0.25">
      <c r="A12" s="60"/>
      <c r="B12" s="14"/>
      <c r="C12" s="15"/>
      <c r="D12" s="16"/>
      <c r="E12" s="17"/>
      <c r="F12" s="34" t="str">
        <f t="shared" si="0"/>
        <v/>
      </c>
    </row>
    <row r="13" spans="1:6" x14ac:dyDescent="0.25">
      <c r="A13" s="60"/>
      <c r="B13" s="14"/>
      <c r="C13" s="15"/>
      <c r="D13" s="16"/>
      <c r="E13" s="17"/>
      <c r="F13" s="34" t="str">
        <f t="shared" si="0"/>
        <v/>
      </c>
    </row>
    <row r="14" spans="1:6" x14ac:dyDescent="0.25">
      <c r="A14" s="60"/>
      <c r="B14" s="14"/>
      <c r="C14" s="15"/>
      <c r="D14" s="16"/>
      <c r="E14" s="17"/>
      <c r="F14" s="34" t="str">
        <f t="shared" si="0"/>
        <v/>
      </c>
    </row>
    <row r="15" spans="1:6" x14ac:dyDescent="0.25">
      <c r="A15" s="60"/>
      <c r="B15" s="14"/>
      <c r="C15" s="15"/>
      <c r="D15" s="16"/>
      <c r="E15" s="17"/>
      <c r="F15" s="34" t="str">
        <f t="shared" si="0"/>
        <v/>
      </c>
    </row>
    <row r="16" spans="1:6" x14ac:dyDescent="0.25">
      <c r="A16" s="60"/>
      <c r="B16" s="14"/>
      <c r="C16" s="15"/>
      <c r="D16" s="16"/>
      <c r="E16" s="17"/>
      <c r="F16" s="34" t="str">
        <f t="shared" si="0"/>
        <v/>
      </c>
    </row>
    <row r="17" spans="1:6" x14ac:dyDescent="0.25">
      <c r="A17" s="60"/>
      <c r="B17" s="14"/>
      <c r="C17" s="15"/>
      <c r="D17" s="16"/>
      <c r="E17" s="17"/>
      <c r="F17" s="34" t="str">
        <f t="shared" si="0"/>
        <v/>
      </c>
    </row>
    <row r="18" spans="1:6" x14ac:dyDescent="0.25">
      <c r="A18" s="60"/>
      <c r="B18" s="14"/>
      <c r="C18" s="15"/>
      <c r="D18" s="16"/>
      <c r="E18" s="17"/>
      <c r="F18" s="34" t="str">
        <f t="shared" si="0"/>
        <v/>
      </c>
    </row>
    <row r="19" spans="1:6" x14ac:dyDescent="0.25">
      <c r="A19" s="60"/>
      <c r="B19" s="14"/>
      <c r="C19" s="15"/>
      <c r="D19" s="16"/>
      <c r="E19" s="17"/>
      <c r="F19" s="34" t="str">
        <f t="shared" si="0"/>
        <v/>
      </c>
    </row>
    <row r="20" spans="1:6" x14ac:dyDescent="0.25">
      <c r="A20" s="60"/>
      <c r="B20" s="14"/>
      <c r="C20" s="15"/>
      <c r="D20" s="16"/>
      <c r="E20" s="17"/>
      <c r="F20" s="34" t="str">
        <f t="shared" si="0"/>
        <v/>
      </c>
    </row>
    <row r="21" spans="1:6" x14ac:dyDescent="0.25">
      <c r="A21" s="60"/>
      <c r="B21" s="14"/>
      <c r="C21" s="15"/>
      <c r="D21" s="16"/>
      <c r="E21" s="17"/>
      <c r="F21" s="34" t="str">
        <f t="shared" si="0"/>
        <v/>
      </c>
    </row>
    <row r="22" spans="1:6" x14ac:dyDescent="0.25">
      <c r="A22" s="60"/>
      <c r="B22" s="14"/>
      <c r="C22" s="15"/>
      <c r="D22" s="16"/>
      <c r="E22" s="17"/>
      <c r="F22" s="34" t="str">
        <f t="shared" si="0"/>
        <v/>
      </c>
    </row>
    <row r="23" spans="1:6" x14ac:dyDescent="0.25">
      <c r="A23" s="60"/>
      <c r="B23" s="14"/>
      <c r="C23" s="15"/>
      <c r="D23" s="16"/>
      <c r="E23" s="17"/>
      <c r="F23" s="34" t="str">
        <f t="shared" si="0"/>
        <v/>
      </c>
    </row>
    <row r="24" spans="1:6" x14ac:dyDescent="0.25">
      <c r="A24" s="60"/>
      <c r="B24" s="14"/>
      <c r="C24" s="15"/>
      <c r="D24" s="16"/>
      <c r="E24" s="17"/>
      <c r="F24" s="34" t="str">
        <f t="shared" si="0"/>
        <v/>
      </c>
    </row>
    <row r="25" spans="1:6" x14ac:dyDescent="0.25">
      <c r="A25" s="60"/>
      <c r="B25" s="14"/>
      <c r="C25" s="15"/>
      <c r="D25" s="16"/>
      <c r="E25" s="17"/>
      <c r="F25" s="34" t="str">
        <f t="shared" si="0"/>
        <v/>
      </c>
    </row>
    <row r="26" spans="1:6" x14ac:dyDescent="0.25">
      <c r="A26" s="60"/>
      <c r="B26" s="14"/>
      <c r="C26" s="15"/>
      <c r="D26" s="16"/>
      <c r="E26" s="17"/>
      <c r="F26" s="34" t="str">
        <f t="shared" si="0"/>
        <v/>
      </c>
    </row>
    <row r="27" spans="1:6" x14ac:dyDescent="0.25">
      <c r="A27" s="60"/>
      <c r="B27" s="14"/>
      <c r="C27" s="15"/>
      <c r="D27" s="16"/>
      <c r="E27" s="17"/>
      <c r="F27" s="34" t="str">
        <f t="shared" si="0"/>
        <v/>
      </c>
    </row>
    <row r="28" spans="1:6" x14ac:dyDescent="0.25">
      <c r="A28" s="60"/>
      <c r="B28" s="14"/>
      <c r="C28" s="15"/>
      <c r="D28" s="16"/>
      <c r="E28" s="17"/>
      <c r="F28" s="34" t="str">
        <f t="shared" si="0"/>
        <v/>
      </c>
    </row>
    <row r="29" spans="1:6" x14ac:dyDescent="0.25">
      <c r="A29" s="60"/>
      <c r="B29" s="14"/>
      <c r="C29" s="15"/>
      <c r="D29" s="16"/>
      <c r="E29" s="17"/>
      <c r="F29" s="34" t="str">
        <f t="shared" si="0"/>
        <v/>
      </c>
    </row>
    <row r="30" spans="1:6" x14ac:dyDescent="0.25">
      <c r="A30" s="60"/>
      <c r="B30" s="14"/>
      <c r="C30" s="15"/>
      <c r="D30" s="16"/>
      <c r="E30" s="17"/>
      <c r="F30" s="34" t="str">
        <f t="shared" si="0"/>
        <v/>
      </c>
    </row>
    <row r="31" spans="1:6" x14ac:dyDescent="0.25">
      <c r="A31" s="60"/>
      <c r="B31" s="14"/>
      <c r="C31" s="15"/>
      <c r="D31" s="16"/>
      <c r="E31" s="17"/>
      <c r="F31" s="34" t="str">
        <f t="shared" si="0"/>
        <v/>
      </c>
    </row>
    <row r="32" spans="1:6" x14ac:dyDescent="0.25">
      <c r="A32" s="60"/>
      <c r="B32" s="14"/>
      <c r="C32" s="15"/>
      <c r="D32" s="16"/>
      <c r="E32" s="17"/>
      <c r="F32" s="34" t="str">
        <f t="shared" si="0"/>
        <v/>
      </c>
    </row>
    <row r="33" spans="1:6" x14ac:dyDescent="0.25">
      <c r="A33" s="60"/>
      <c r="B33" s="14"/>
      <c r="C33" s="15"/>
      <c r="D33" s="16"/>
      <c r="E33" s="17"/>
      <c r="F33" s="34" t="str">
        <f t="shared" si="0"/>
        <v/>
      </c>
    </row>
    <row r="34" spans="1:6" x14ac:dyDescent="0.25">
      <c r="A34" s="60"/>
      <c r="B34" s="14"/>
      <c r="C34" s="15"/>
      <c r="D34" s="16"/>
      <c r="E34" s="17"/>
      <c r="F34" s="34" t="str">
        <f t="shared" si="0"/>
        <v/>
      </c>
    </row>
    <row r="35" spans="1:6" x14ac:dyDescent="0.25">
      <c r="A35" s="60"/>
      <c r="B35" s="14"/>
      <c r="C35" s="15"/>
      <c r="D35" s="16"/>
      <c r="E35" s="17"/>
      <c r="F35" s="34" t="str">
        <f t="shared" si="0"/>
        <v/>
      </c>
    </row>
    <row r="36" spans="1:6" x14ac:dyDescent="0.25">
      <c r="A36" s="60"/>
      <c r="B36" s="14"/>
      <c r="C36" s="15"/>
      <c r="D36" s="16"/>
      <c r="E36" s="17"/>
      <c r="F36" s="34" t="str">
        <f t="shared" si="0"/>
        <v/>
      </c>
    </row>
    <row r="37" spans="1:6" x14ac:dyDescent="0.25">
      <c r="A37" s="60"/>
      <c r="B37" s="14"/>
      <c r="C37" s="15"/>
      <c r="D37" s="16"/>
      <c r="E37" s="17"/>
      <c r="F37" s="34" t="str">
        <f t="shared" si="0"/>
        <v/>
      </c>
    </row>
    <row r="38" spans="1:6" x14ac:dyDescent="0.25">
      <c r="A38" s="60"/>
      <c r="B38" s="14"/>
      <c r="C38" s="15"/>
      <c r="D38" s="16"/>
      <c r="E38" s="17"/>
      <c r="F38" s="34" t="str">
        <f t="shared" si="0"/>
        <v/>
      </c>
    </row>
    <row r="39" spans="1:6" x14ac:dyDescent="0.25">
      <c r="A39" s="60"/>
      <c r="B39" s="14"/>
      <c r="C39" s="15"/>
      <c r="D39" s="16"/>
      <c r="E39" s="17"/>
      <c r="F39" s="34" t="str">
        <f t="shared" si="0"/>
        <v/>
      </c>
    </row>
    <row r="40" spans="1:6" x14ac:dyDescent="0.25">
      <c r="A40" s="60"/>
      <c r="B40" s="14"/>
      <c r="C40" s="15"/>
      <c r="D40" s="16"/>
      <c r="E40" s="17"/>
      <c r="F40" s="34" t="str">
        <f t="shared" si="0"/>
        <v/>
      </c>
    </row>
    <row r="41" spans="1:6" x14ac:dyDescent="0.25">
      <c r="A41" s="60"/>
      <c r="B41" s="14"/>
      <c r="C41" s="15"/>
      <c r="D41" s="16"/>
      <c r="E41" s="17"/>
      <c r="F41" s="34" t="str">
        <f t="shared" si="0"/>
        <v/>
      </c>
    </row>
    <row r="42" spans="1:6" x14ac:dyDescent="0.25">
      <c r="A42" s="60"/>
      <c r="B42" s="14"/>
      <c r="C42" s="15"/>
      <c r="D42" s="16"/>
      <c r="E42" s="17"/>
      <c r="F42" s="34" t="str">
        <f t="shared" si="0"/>
        <v/>
      </c>
    </row>
    <row r="43" spans="1:6" x14ac:dyDescent="0.25">
      <c r="A43" s="60"/>
      <c r="B43" s="14"/>
      <c r="C43" s="15"/>
      <c r="D43" s="16"/>
      <c r="E43" s="17"/>
      <c r="F43" s="34" t="str">
        <f t="shared" si="0"/>
        <v/>
      </c>
    </row>
    <row r="44" spans="1:6" x14ac:dyDescent="0.25">
      <c r="A44" s="60"/>
      <c r="B44" s="14"/>
      <c r="C44" s="15"/>
      <c r="D44" s="16"/>
      <c r="E44" s="17"/>
      <c r="F44" s="34" t="str">
        <f t="shared" si="0"/>
        <v/>
      </c>
    </row>
    <row r="45" spans="1:6" x14ac:dyDescent="0.25">
      <c r="A45" s="60"/>
      <c r="B45" s="14"/>
      <c r="C45" s="15"/>
      <c r="D45" s="16"/>
      <c r="E45" s="17"/>
      <c r="F45" s="34" t="str">
        <f t="shared" si="0"/>
        <v/>
      </c>
    </row>
    <row r="46" spans="1:6" x14ac:dyDescent="0.25">
      <c r="A46" s="60"/>
      <c r="B46" s="14"/>
      <c r="C46" s="15"/>
      <c r="D46" s="16"/>
      <c r="E46" s="17"/>
      <c r="F46" s="34" t="str">
        <f t="shared" si="0"/>
        <v/>
      </c>
    </row>
    <row r="47" spans="1:6" x14ac:dyDescent="0.25">
      <c r="A47" s="60"/>
      <c r="B47" s="14"/>
      <c r="C47" s="15"/>
      <c r="D47" s="16"/>
      <c r="E47" s="17"/>
      <c r="F47" s="34" t="str">
        <f t="shared" si="0"/>
        <v/>
      </c>
    </row>
    <row r="48" spans="1:6" x14ac:dyDescent="0.25">
      <c r="A48" s="60"/>
      <c r="B48" s="14"/>
      <c r="C48" s="15"/>
      <c r="D48" s="16"/>
      <c r="E48" s="17"/>
      <c r="F48" s="34" t="str">
        <f t="shared" si="0"/>
        <v/>
      </c>
    </row>
    <row r="49" spans="1:8" x14ac:dyDescent="0.25">
      <c r="A49" s="60"/>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0"/>
      <c r="H51" s="120"/>
    </row>
    <row r="52" spans="1:8" x14ac:dyDescent="0.25">
      <c r="A52" s="35"/>
      <c r="B52" s="36"/>
      <c r="C52" s="37"/>
      <c r="D52" s="27"/>
      <c r="E52" s="38"/>
      <c r="F52" s="34" t="str">
        <f t="shared" si="0"/>
        <v/>
      </c>
    </row>
    <row r="53" spans="1:8" x14ac:dyDescent="0.25">
      <c r="A53" s="60"/>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1"/>
      <c r="B57" s="2"/>
      <c r="C57" s="45"/>
      <c r="D57" s="27"/>
      <c r="E57" s="28"/>
      <c r="F57" s="34"/>
    </row>
    <row r="58" spans="1:8" x14ac:dyDescent="0.25">
      <c r="A58" s="145"/>
      <c r="B58" s="146"/>
      <c r="C58" s="146"/>
      <c r="D58" s="146"/>
      <c r="E58" s="146"/>
      <c r="F58" s="147" t="s">
        <v>194</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
  <sheetViews>
    <sheetView view="pageBreakPreview" zoomScale="70" zoomScaleNormal="100" zoomScaleSheetLayoutView="70" zoomScalePageLayoutView="85" workbookViewId="0">
      <selection activeCell="A8" sqref="A8"/>
    </sheetView>
  </sheetViews>
  <sheetFormatPr defaultRowHeight="15" x14ac:dyDescent="0.25"/>
  <cols>
    <col min="1" max="1" width="3.7109375" customWidth="1"/>
    <col min="2" max="2" width="31.140625" customWidth="1"/>
    <col min="3" max="3" width="19.28515625" customWidth="1"/>
    <col min="4" max="4" width="17.140625" customWidth="1"/>
    <col min="5" max="5" width="18.140625" customWidth="1"/>
    <col min="6" max="7" width="16.42578125" customWidth="1"/>
    <col min="8" max="8" width="17" customWidth="1"/>
    <col min="9" max="9" width="16.28515625" customWidth="1"/>
    <col min="10" max="10" width="19" customWidth="1"/>
    <col min="11" max="11" width="17.140625" customWidth="1"/>
    <col min="12" max="12" width="15.85546875" customWidth="1"/>
    <col min="13" max="13" width="16.28515625" customWidth="1"/>
    <col min="14" max="18" width="13.140625" customWidth="1"/>
  </cols>
  <sheetData>
    <row r="1" spans="1:15" ht="27.75" customHeight="1" x14ac:dyDescent="0.4">
      <c r="A1" s="250"/>
      <c r="B1" s="250"/>
      <c r="C1" s="250"/>
      <c r="D1" s="250"/>
      <c r="E1" s="250"/>
      <c r="F1" s="250"/>
      <c r="G1" s="250"/>
      <c r="H1" s="250"/>
      <c r="I1" s="250"/>
      <c r="J1" s="250"/>
      <c r="K1" s="250"/>
      <c r="L1" s="250"/>
      <c r="M1" s="62"/>
      <c r="N1" s="62"/>
      <c r="O1" s="62"/>
    </row>
    <row r="2" spans="1:15" x14ac:dyDescent="0.25">
      <c r="A2" s="251"/>
      <c r="B2" s="251"/>
      <c r="C2" s="251"/>
      <c r="D2" s="251"/>
      <c r="E2" s="251"/>
      <c r="F2" s="251"/>
      <c r="G2" s="251"/>
      <c r="H2" s="251"/>
      <c r="I2" s="251"/>
      <c r="J2" s="251"/>
      <c r="K2" s="251"/>
      <c r="L2" s="251"/>
      <c r="M2" s="62"/>
      <c r="N2" s="62"/>
      <c r="O2" s="62"/>
    </row>
    <row r="3" spans="1:15" x14ac:dyDescent="0.25">
      <c r="A3" s="251"/>
      <c r="B3" s="251"/>
      <c r="C3" s="251"/>
      <c r="D3" s="251"/>
      <c r="E3" s="251"/>
      <c r="F3" s="251"/>
      <c r="G3" s="251"/>
      <c r="H3" s="251"/>
      <c r="I3" s="251"/>
      <c r="J3" s="251"/>
      <c r="K3" s="251"/>
      <c r="L3" s="251"/>
      <c r="M3" s="62"/>
      <c r="N3" s="62"/>
      <c r="O3" s="62"/>
    </row>
    <row r="4" spans="1:15" x14ac:dyDescent="0.25">
      <c r="A4" s="252"/>
      <c r="B4" s="252"/>
      <c r="C4" s="252"/>
      <c r="D4" s="252"/>
      <c r="E4" s="252"/>
      <c r="F4" s="252"/>
      <c r="G4" s="252"/>
      <c r="H4" s="252"/>
      <c r="I4" s="252"/>
      <c r="J4" s="252"/>
      <c r="K4" s="252"/>
      <c r="L4" s="252"/>
      <c r="M4" s="62"/>
      <c r="N4" s="62"/>
      <c r="O4" s="62"/>
    </row>
    <row r="5" spans="1:15" x14ac:dyDescent="0.25">
      <c r="A5" s="95"/>
      <c r="B5" s="95"/>
      <c r="C5" s="95"/>
      <c r="D5" s="96"/>
      <c r="E5" s="96"/>
      <c r="F5" s="96"/>
      <c r="G5" s="96"/>
      <c r="H5" s="96"/>
      <c r="I5" s="96"/>
      <c r="J5" s="96"/>
      <c r="K5" s="96"/>
      <c r="L5" s="96"/>
      <c r="M5" s="96"/>
      <c r="N5" s="62"/>
      <c r="O5" s="62"/>
    </row>
    <row r="6" spans="1:15" ht="31.5" x14ac:dyDescent="0.5">
      <c r="A6" s="99" t="s">
        <v>149</v>
      </c>
      <c r="B6" s="99"/>
      <c r="C6" s="99"/>
      <c r="D6" s="99"/>
      <c r="E6" s="99"/>
      <c r="F6" s="99"/>
      <c r="G6" s="99"/>
      <c r="H6" s="99"/>
      <c r="I6" s="99"/>
      <c r="J6" s="99"/>
      <c r="K6" s="99"/>
      <c r="L6" s="99"/>
      <c r="M6" s="99"/>
      <c r="N6" s="62"/>
      <c r="O6" s="62"/>
    </row>
    <row r="7" spans="1:15" ht="23.25" x14ac:dyDescent="0.35">
      <c r="A7" s="98" t="str">
        <f>+'GRAND SUMMARY'!A3</f>
        <v>BOQ FOR COMPLETE WORKS OF MASJID AL-HUDA AT GN. FUVAHMULAH</v>
      </c>
      <c r="B7" s="98"/>
      <c r="C7" s="98"/>
      <c r="D7" s="98"/>
      <c r="E7" s="98"/>
      <c r="F7" s="98"/>
      <c r="G7" s="98"/>
      <c r="H7" s="98"/>
      <c r="I7" s="98"/>
      <c r="J7" s="98"/>
      <c r="K7" s="98"/>
      <c r="L7" s="98"/>
      <c r="M7" s="98"/>
      <c r="N7" s="62"/>
      <c r="O7" s="62"/>
    </row>
    <row r="8" spans="1:15" x14ac:dyDescent="0.25">
      <c r="A8" s="97" t="str">
        <f>+'GRAND SUMMARY'!A4</f>
        <v>MINISTRY OF ISLAMIC AFFAIRS</v>
      </c>
      <c r="B8" s="97"/>
      <c r="C8" s="97"/>
      <c r="D8" s="97"/>
      <c r="E8" s="97"/>
      <c r="F8" s="97"/>
      <c r="G8" s="97"/>
      <c r="H8" s="97"/>
      <c r="I8" s="97"/>
      <c r="J8" s="97"/>
      <c r="K8" s="97"/>
      <c r="L8" s="97"/>
      <c r="M8" s="97"/>
      <c r="N8" s="62"/>
      <c r="O8" s="62"/>
    </row>
    <row r="9" spans="1:15" x14ac:dyDescent="0.25">
      <c r="A9" t="str">
        <f>+'GRAND SUMMARY'!A5</f>
        <v>4th March 2020</v>
      </c>
      <c r="I9" s="3"/>
    </row>
    <row r="10" spans="1:15" s="4" customFormat="1" x14ac:dyDescent="0.25">
      <c r="C10" s="4" t="s">
        <v>102</v>
      </c>
      <c r="D10" s="4" t="s">
        <v>103</v>
      </c>
      <c r="E10" s="4" t="s">
        <v>104</v>
      </c>
      <c r="F10" s="4" t="s">
        <v>105</v>
      </c>
      <c r="G10" s="4" t="s">
        <v>106</v>
      </c>
      <c r="H10" s="4" t="s">
        <v>107</v>
      </c>
      <c r="I10" s="4" t="s">
        <v>108</v>
      </c>
      <c r="J10" s="4" t="s">
        <v>109</v>
      </c>
      <c r="K10" s="4" t="s">
        <v>227</v>
      </c>
      <c r="L10" s="4" t="s">
        <v>110</v>
      </c>
      <c r="M10" s="4" t="s">
        <v>120</v>
      </c>
    </row>
    <row r="11" spans="1:15" s="91" customFormat="1" ht="58.5" customHeight="1" x14ac:dyDescent="0.25">
      <c r="A11" s="192"/>
      <c r="B11" s="92"/>
      <c r="C11" s="93" t="s">
        <v>5</v>
      </c>
      <c r="D11" s="93" t="s">
        <v>84</v>
      </c>
      <c r="E11" s="93" t="s">
        <v>46</v>
      </c>
      <c r="F11" s="93" t="s">
        <v>60</v>
      </c>
      <c r="G11" s="93" t="s">
        <v>47</v>
      </c>
      <c r="H11" s="93" t="s">
        <v>48</v>
      </c>
      <c r="I11" s="93" t="s">
        <v>113</v>
      </c>
      <c r="J11" s="93" t="s">
        <v>45</v>
      </c>
      <c r="K11" s="93" t="s">
        <v>31</v>
      </c>
      <c r="L11" s="93" t="s">
        <v>43</v>
      </c>
      <c r="M11" s="219" t="s">
        <v>118</v>
      </c>
    </row>
    <row r="12" spans="1:15" x14ac:dyDescent="0.25">
      <c r="A12" s="139"/>
      <c r="B12" s="94" t="s">
        <v>64</v>
      </c>
      <c r="C12" s="193">
        <f>'BILL 1 PRELIMINARIES'!F2</f>
        <v>0</v>
      </c>
      <c r="D12" s="194">
        <f>'BILL 2 WORKS BELOW GROUND'!F5</f>
        <v>0</v>
      </c>
      <c r="E12" s="194">
        <f>'BILL 3 CONCRETE WORKS'!F12</f>
        <v>0</v>
      </c>
      <c r="F12" s="194"/>
      <c r="G12" s="194"/>
      <c r="H12" s="194"/>
      <c r="I12" s="194"/>
      <c r="J12" s="194"/>
      <c r="K12" s="194"/>
      <c r="L12" s="194"/>
      <c r="M12" s="195"/>
    </row>
    <row r="13" spans="1:15" x14ac:dyDescent="0.25">
      <c r="A13" s="139"/>
      <c r="B13" s="94" t="s">
        <v>111</v>
      </c>
      <c r="C13" s="194"/>
      <c r="D13" s="194"/>
      <c r="E13" s="194">
        <f>'BILL 3 CONCRETE WORKS'!F14</f>
        <v>0</v>
      </c>
      <c r="F13" s="194"/>
      <c r="G13" s="194"/>
      <c r="H13" s="194"/>
      <c r="I13" s="194"/>
      <c r="J13" s="194"/>
      <c r="K13" s="194"/>
      <c r="L13" s="194"/>
      <c r="M13" s="195"/>
    </row>
    <row r="14" spans="1:15" x14ac:dyDescent="0.25">
      <c r="A14" s="139"/>
      <c r="B14" s="94" t="s">
        <v>62</v>
      </c>
      <c r="C14" s="194"/>
      <c r="D14" s="194"/>
      <c r="E14" s="194">
        <f>'BILL 3 CONCRETE WORKS'!F79</f>
        <v>0</v>
      </c>
      <c r="F14" s="194">
        <f>'BILL4 METAL AND CARPENTRY WORKS'!F12</f>
        <v>0</v>
      </c>
      <c r="G14" s="194">
        <f>'BILL 5 MASONRY AND PLASTERING'!F9</f>
        <v>0</v>
      </c>
      <c r="H14" s="194">
        <f>'Bill 6 DOORS AND WINDOWS'!F8</f>
        <v>0</v>
      </c>
      <c r="I14" s="194">
        <f>'Bill 7 PAINTING WORKS'!F8</f>
        <v>0</v>
      </c>
      <c r="J14" s="194">
        <f>'Bill 8 FLOOR FINISHES'!F8</f>
        <v>0</v>
      </c>
      <c r="K14" s="194">
        <f>'BILL 09 HYDRAULICS AND DRAINAGE'!F10</f>
        <v>0</v>
      </c>
      <c r="L14" s="194">
        <f>'BILL 10 ELECTRICAL INSTALLATION'!F11</f>
        <v>0</v>
      </c>
      <c r="M14" s="195">
        <f>'BILL 11 MECHANICAL SYSTEMS'!F7</f>
        <v>0</v>
      </c>
    </row>
    <row r="15" spans="1:15" x14ac:dyDescent="0.25">
      <c r="A15" s="139"/>
      <c r="B15" s="94" t="s">
        <v>282</v>
      </c>
      <c r="C15" s="194"/>
      <c r="D15" s="194"/>
      <c r="E15" s="194">
        <f>'BILL 3 CONCRETE WORKS'!F167</f>
        <v>0</v>
      </c>
      <c r="F15" s="194"/>
      <c r="G15" s="194">
        <f>'BILL 5 MASONRY AND PLASTERING'!F17</f>
        <v>0</v>
      </c>
      <c r="H15" s="194">
        <f>'Bill 6 DOORS AND WINDOWS'!F19</f>
        <v>0</v>
      </c>
      <c r="I15" s="194">
        <f>'Bill 7 PAINTING WORKS'!F13</f>
        <v>0</v>
      </c>
      <c r="J15" s="194">
        <f>'Bill 8 FLOOR FINISHES'!F15</f>
        <v>0</v>
      </c>
      <c r="K15" s="194"/>
      <c r="L15" s="194">
        <f>'BILL 10 ELECTRICAL INSTALLATION'!F43</f>
        <v>0</v>
      </c>
      <c r="M15" s="195">
        <f>'BILL 11 MECHANICAL SYSTEMS'!F12</f>
        <v>0</v>
      </c>
    </row>
    <row r="16" spans="1:15" x14ac:dyDescent="0.25">
      <c r="A16" s="139"/>
      <c r="B16" s="94" t="s">
        <v>63</v>
      </c>
      <c r="C16" s="194"/>
      <c r="D16" s="194"/>
      <c r="E16" s="194">
        <f>'BILL 3 CONCRETE WORKS'!F283</f>
        <v>0</v>
      </c>
      <c r="F16" s="194">
        <f>'BILL4 METAL AND CARPENTRY WORKS'!F17</f>
        <v>0</v>
      </c>
      <c r="G16" s="194"/>
      <c r="H16" s="194"/>
      <c r="I16" s="194"/>
      <c r="J16" s="194"/>
      <c r="K16" s="194">
        <f>'BILL 09 HYDRAULICS AND DRAINAGE'!F30</f>
        <v>0</v>
      </c>
      <c r="L16" s="194">
        <f>'BILL 10 ELECTRICAL INSTALLATION'!F63</f>
        <v>0</v>
      </c>
      <c r="M16" s="195"/>
    </row>
    <row r="17" spans="1:13" x14ac:dyDescent="0.25">
      <c r="A17" s="143"/>
      <c r="B17" s="190" t="s">
        <v>263</v>
      </c>
      <c r="C17" s="191"/>
      <c r="D17" s="191"/>
      <c r="E17" s="191">
        <f>'BILL 3 CONCRETE WORKS'!F338</f>
        <v>0</v>
      </c>
      <c r="F17" s="191">
        <f>'BILL4 METAL AND CARPENTRY WORKS'!F21</f>
        <v>0</v>
      </c>
      <c r="G17" s="191"/>
      <c r="H17" s="191"/>
      <c r="I17" s="191"/>
      <c r="J17" s="191"/>
      <c r="K17" s="191"/>
      <c r="L17" s="191"/>
      <c r="M17" s="159"/>
    </row>
    <row r="18" spans="1:13" ht="15.75" x14ac:dyDescent="0.25">
      <c r="A18" s="143"/>
      <c r="B18" s="188" t="s">
        <v>112</v>
      </c>
      <c r="C18" s="189">
        <f t="shared" ref="C18:M18" si="0">SUM(C12:C16)</f>
        <v>0</v>
      </c>
      <c r="D18" s="189">
        <f t="shared" si="0"/>
        <v>0</v>
      </c>
      <c r="E18" s="189">
        <f t="shared" si="0"/>
        <v>0</v>
      </c>
      <c r="F18" s="189">
        <f t="shared" si="0"/>
        <v>0</v>
      </c>
      <c r="G18" s="189">
        <f t="shared" si="0"/>
        <v>0</v>
      </c>
      <c r="H18" s="189">
        <f t="shared" si="0"/>
        <v>0</v>
      </c>
      <c r="I18" s="189">
        <f t="shared" si="0"/>
        <v>0</v>
      </c>
      <c r="J18" s="189">
        <f t="shared" si="0"/>
        <v>0</v>
      </c>
      <c r="K18" s="189">
        <f t="shared" si="0"/>
        <v>0</v>
      </c>
      <c r="L18" s="189">
        <f t="shared" si="0"/>
        <v>0</v>
      </c>
      <c r="M18" s="196">
        <f t="shared" si="0"/>
        <v>0</v>
      </c>
    </row>
    <row r="20" spans="1:13" x14ac:dyDescent="0.25">
      <c r="D20" s="3"/>
    </row>
    <row r="24" spans="1:13" x14ac:dyDescent="0.25">
      <c r="D24" s="3"/>
    </row>
  </sheetData>
  <mergeCells count="4">
    <mergeCell ref="A1:L1"/>
    <mergeCell ref="A2:L2"/>
    <mergeCell ref="A3:L3"/>
    <mergeCell ref="A4:L4"/>
  </mergeCells>
  <printOptions horizontalCentered="1"/>
  <pageMargins left="0.1" right="0.1" top="0.75" bottom="0.75" header="0.3" footer="0.3"/>
  <pageSetup paperSize="9" scale="55"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view="pageBreakPreview" zoomScale="80" zoomScaleNormal="85" zoomScaleSheetLayoutView="80" workbookViewId="0">
      <selection activeCell="J27" sqref="J27"/>
    </sheetView>
  </sheetViews>
  <sheetFormatPr defaultRowHeight="15" x14ac:dyDescent="0.25"/>
  <cols>
    <col min="1" max="1" width="5.28515625" customWidth="1"/>
    <col min="2" max="2" width="52" customWidth="1"/>
    <col min="3" max="4" width="5.85546875" customWidth="1"/>
    <col min="5" max="5" width="16.140625" customWidth="1"/>
    <col min="6" max="6" width="17.5703125" customWidth="1"/>
    <col min="10" max="10" width="11.5703125" bestFit="1" customWidth="1"/>
  </cols>
  <sheetData>
    <row r="1" spans="1:6" x14ac:dyDescent="0.25">
      <c r="A1" s="85" t="s">
        <v>11</v>
      </c>
      <c r="B1" s="6" t="s">
        <v>12</v>
      </c>
      <c r="C1" s="7" t="s">
        <v>13</v>
      </c>
      <c r="D1" s="8" t="s">
        <v>14</v>
      </c>
      <c r="E1" s="6" t="s">
        <v>121</v>
      </c>
      <c r="F1" s="9" t="s">
        <v>15</v>
      </c>
    </row>
    <row r="2" spans="1:6" ht="15.75" thickBot="1" x14ac:dyDescent="0.3">
      <c r="A2" s="10">
        <v>1</v>
      </c>
      <c r="B2" s="253" t="s">
        <v>5</v>
      </c>
      <c r="C2" s="254"/>
      <c r="D2" s="254"/>
      <c r="E2" s="254"/>
      <c r="F2" s="11">
        <f>+SUM(F20:F27)</f>
        <v>0</v>
      </c>
    </row>
    <row r="3" spans="1:6" ht="15.75" thickTop="1" x14ac:dyDescent="0.25">
      <c r="A3" s="83"/>
      <c r="B3" s="84"/>
      <c r="C3" s="82"/>
      <c r="D3" s="81"/>
      <c r="E3" s="80"/>
      <c r="F3" s="79"/>
    </row>
    <row r="4" spans="1:6" x14ac:dyDescent="0.25">
      <c r="A4" s="83">
        <v>1</v>
      </c>
      <c r="B4" s="84" t="s">
        <v>175</v>
      </c>
      <c r="C4" s="82"/>
      <c r="D4" s="81"/>
      <c r="E4" s="80"/>
      <c r="F4" s="79"/>
    </row>
    <row r="5" spans="1:6" x14ac:dyDescent="0.25">
      <c r="A5" s="83"/>
      <c r="B5" s="78" t="s">
        <v>79</v>
      </c>
      <c r="C5" s="82"/>
      <c r="D5" s="81"/>
      <c r="E5" s="80"/>
      <c r="F5" s="79"/>
    </row>
    <row r="6" spans="1:6" x14ac:dyDescent="0.25">
      <c r="A6" s="83"/>
      <c r="B6" s="78" t="s">
        <v>78</v>
      </c>
      <c r="C6" s="82"/>
      <c r="D6" s="81"/>
      <c r="E6" s="80"/>
      <c r="F6" s="79"/>
    </row>
    <row r="7" spans="1:6" x14ac:dyDescent="0.25">
      <c r="A7" s="83"/>
      <c r="B7" s="78" t="s">
        <v>77</v>
      </c>
      <c r="C7" s="82"/>
      <c r="D7" s="81"/>
      <c r="E7" s="80"/>
      <c r="F7" s="79"/>
    </row>
    <row r="8" spans="1:6" x14ac:dyDescent="0.25">
      <c r="A8" s="83"/>
      <c r="B8" s="78" t="s">
        <v>76</v>
      </c>
      <c r="C8" s="82"/>
      <c r="D8" s="81"/>
      <c r="E8" s="80"/>
      <c r="F8" s="79"/>
    </row>
    <row r="9" spans="1:6" x14ac:dyDescent="0.25">
      <c r="A9" s="83"/>
      <c r="B9" s="78" t="s">
        <v>75</v>
      </c>
      <c r="C9" s="82"/>
      <c r="D9" s="81"/>
      <c r="E9" s="80"/>
      <c r="F9" s="79"/>
    </row>
    <row r="10" spans="1:6" x14ac:dyDescent="0.25">
      <c r="A10" s="83"/>
      <c r="B10" s="78" t="s">
        <v>74</v>
      </c>
      <c r="C10" s="82"/>
      <c r="D10" s="81"/>
      <c r="E10" s="80"/>
      <c r="F10" s="79"/>
    </row>
    <row r="11" spans="1:6" x14ac:dyDescent="0.25">
      <c r="A11" s="83"/>
      <c r="B11" s="78" t="s">
        <v>73</v>
      </c>
      <c r="C11" s="82"/>
      <c r="D11" s="81"/>
      <c r="E11" s="80"/>
      <c r="F11" s="79"/>
    </row>
    <row r="12" spans="1:6" x14ac:dyDescent="0.25">
      <c r="A12" s="83"/>
      <c r="B12" s="78" t="s">
        <v>72</v>
      </c>
      <c r="C12" s="82"/>
      <c r="D12" s="81"/>
      <c r="E12" s="80"/>
      <c r="F12" s="79"/>
    </row>
    <row r="13" spans="1:6" x14ac:dyDescent="0.25">
      <c r="A13" s="83"/>
      <c r="B13" s="78" t="s">
        <v>71</v>
      </c>
      <c r="C13" s="82"/>
      <c r="D13" s="81"/>
      <c r="E13" s="80"/>
      <c r="F13" s="79"/>
    </row>
    <row r="14" spans="1:6" x14ac:dyDescent="0.25">
      <c r="A14" s="83"/>
      <c r="B14" s="78" t="s">
        <v>70</v>
      </c>
      <c r="C14" s="82"/>
      <c r="D14" s="81"/>
      <c r="E14" s="80"/>
      <c r="F14" s="79"/>
    </row>
    <row r="15" spans="1:6" x14ac:dyDescent="0.25">
      <c r="A15" s="137"/>
      <c r="B15" s="78" t="s">
        <v>69</v>
      </c>
      <c r="C15" s="78"/>
      <c r="D15" s="78"/>
      <c r="E15" s="78"/>
      <c r="F15" s="138"/>
    </row>
    <row r="16" spans="1:6" x14ac:dyDescent="0.25">
      <c r="A16" s="137"/>
      <c r="B16" s="78" t="s">
        <v>68</v>
      </c>
      <c r="C16" s="78"/>
      <c r="D16" s="78"/>
      <c r="E16" s="78"/>
      <c r="F16" s="138"/>
    </row>
    <row r="17" spans="1:10" x14ac:dyDescent="0.25">
      <c r="A17" s="137"/>
      <c r="B17" s="78"/>
      <c r="C17" s="78"/>
      <c r="D17" s="78"/>
      <c r="E17" s="78"/>
      <c r="F17" s="138"/>
    </row>
    <row r="18" spans="1:10" x14ac:dyDescent="0.25">
      <c r="A18" s="137"/>
      <c r="B18" s="78"/>
      <c r="C18" s="78"/>
      <c r="D18" s="78"/>
      <c r="E18" s="78"/>
      <c r="F18" s="138"/>
    </row>
    <row r="19" spans="1:10" x14ac:dyDescent="0.25">
      <c r="A19" s="75">
        <v>1.1000000000000001</v>
      </c>
      <c r="B19" s="77" t="s">
        <v>6</v>
      </c>
      <c r="C19" s="76"/>
      <c r="D19" s="74"/>
      <c r="E19" s="73"/>
      <c r="F19" s="72"/>
    </row>
    <row r="20" spans="1:10" ht="58.5" customHeight="1" x14ac:dyDescent="0.25">
      <c r="A20" s="71">
        <v>1</v>
      </c>
      <c r="B20" s="67" t="s">
        <v>67</v>
      </c>
      <c r="C20" s="45">
        <v>1</v>
      </c>
      <c r="D20" s="66" t="s">
        <v>24</v>
      </c>
      <c r="E20" s="65"/>
      <c r="F20" s="34">
        <f t="shared" ref="F20:F30" si="0">IF(E20="",IF(C20="","",C20*E20),C20*E20)</f>
        <v>0</v>
      </c>
    </row>
    <row r="21" spans="1:10" ht="30.6" customHeight="1" x14ac:dyDescent="0.25">
      <c r="A21" s="71"/>
      <c r="B21" s="2" t="s">
        <v>174</v>
      </c>
      <c r="C21" s="45">
        <v>1</v>
      </c>
      <c r="D21" s="66" t="s">
        <v>24</v>
      </c>
      <c r="E21" s="65"/>
      <c r="F21" s="34">
        <f t="shared" si="0"/>
        <v>0</v>
      </c>
    </row>
    <row r="22" spans="1:10" x14ac:dyDescent="0.25">
      <c r="A22" s="68"/>
      <c r="B22" s="67"/>
      <c r="C22" s="76"/>
      <c r="D22" s="66"/>
      <c r="E22" s="65"/>
      <c r="F22" s="34" t="str">
        <f t="shared" si="0"/>
        <v/>
      </c>
      <c r="J22" s="3"/>
    </row>
    <row r="23" spans="1:10" x14ac:dyDescent="0.25">
      <c r="A23" s="75">
        <v>1.2</v>
      </c>
      <c r="B23" s="14" t="s">
        <v>7</v>
      </c>
      <c r="C23" s="76"/>
      <c r="D23" s="74"/>
      <c r="E23" s="73"/>
      <c r="F23" s="34" t="str">
        <f t="shared" si="0"/>
        <v/>
      </c>
    </row>
    <row r="24" spans="1:10" x14ac:dyDescent="0.25">
      <c r="A24" s="71">
        <v>1</v>
      </c>
      <c r="B24" s="70" t="s">
        <v>66</v>
      </c>
      <c r="C24" s="45">
        <v>1</v>
      </c>
      <c r="D24" s="69" t="s">
        <v>4</v>
      </c>
      <c r="E24" s="65"/>
      <c r="F24" s="34">
        <f t="shared" si="0"/>
        <v>0</v>
      </c>
    </row>
    <row r="25" spans="1:10" x14ac:dyDescent="0.25">
      <c r="A25" s="68"/>
      <c r="B25" s="67"/>
      <c r="C25" s="45"/>
      <c r="D25" s="66"/>
      <c r="E25" s="65"/>
      <c r="F25" s="34" t="str">
        <f t="shared" si="0"/>
        <v/>
      </c>
    </row>
    <row r="26" spans="1:10" x14ac:dyDescent="0.25">
      <c r="A26" s="75">
        <v>1.3</v>
      </c>
      <c r="B26" s="14" t="s">
        <v>8</v>
      </c>
      <c r="C26" s="45"/>
      <c r="D26" s="74"/>
      <c r="E26" s="73"/>
      <c r="F26" s="34" t="str">
        <f t="shared" si="0"/>
        <v/>
      </c>
    </row>
    <row r="27" spans="1:10" ht="30" customHeight="1" x14ac:dyDescent="0.25">
      <c r="A27" s="71">
        <v>1</v>
      </c>
      <c r="B27" s="70" t="s">
        <v>65</v>
      </c>
      <c r="C27" s="45">
        <v>1</v>
      </c>
      <c r="D27" s="69" t="s">
        <v>24</v>
      </c>
      <c r="E27" s="65"/>
      <c r="F27" s="34">
        <f t="shared" si="0"/>
        <v>0</v>
      </c>
    </row>
    <row r="28" spans="1:10" x14ac:dyDescent="0.25">
      <c r="A28" s="75">
        <v>1.4</v>
      </c>
      <c r="B28" s="14" t="s">
        <v>319</v>
      </c>
      <c r="C28" s="45"/>
      <c r="D28" s="74"/>
      <c r="E28" s="73"/>
      <c r="F28" s="34" t="str">
        <f t="shared" ref="F28:F29" si="1">IF(E28="",IF(C28="","",C28*E28),C28*E28)</f>
        <v/>
      </c>
    </row>
    <row r="29" spans="1:10" ht="30" customHeight="1" x14ac:dyDescent="0.25">
      <c r="A29" s="71">
        <v>1</v>
      </c>
      <c r="B29" s="70" t="s">
        <v>320</v>
      </c>
      <c r="C29" s="45">
        <v>1</v>
      </c>
      <c r="D29" s="69" t="s">
        <v>24</v>
      </c>
      <c r="E29" s="65"/>
      <c r="F29" s="34">
        <f t="shared" si="1"/>
        <v>0</v>
      </c>
    </row>
    <row r="30" spans="1:10" x14ac:dyDescent="0.25">
      <c r="A30" s="71"/>
      <c r="B30" s="70"/>
      <c r="C30" s="45"/>
      <c r="D30" s="69"/>
      <c r="E30" s="65"/>
      <c r="F30" s="34" t="str">
        <f t="shared" si="0"/>
        <v/>
      </c>
      <c r="G30" s="12"/>
      <c r="H30" s="1"/>
    </row>
    <row r="31" spans="1:10" x14ac:dyDescent="0.25">
      <c r="A31" s="140"/>
      <c r="B31" s="141"/>
      <c r="C31" s="141"/>
      <c r="D31" s="141"/>
      <c r="E31" s="141"/>
      <c r="F31" s="142" t="s">
        <v>177</v>
      </c>
    </row>
  </sheetData>
  <mergeCells count="1">
    <mergeCell ref="B2:E2"/>
  </mergeCells>
  <pageMargins left="0.7" right="0.7" top="0.75" bottom="0.75" header="0.3" footer="0.3"/>
  <pageSetup paperSize="9" scale="85" fitToHeight="0"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BreakPreview" zoomScale="80" zoomScaleNormal="70" zoomScaleSheetLayoutView="80" workbookViewId="0">
      <selection activeCell="E33" sqref="E33"/>
    </sheetView>
  </sheetViews>
  <sheetFormatPr defaultRowHeight="15" x14ac:dyDescent="0.25"/>
  <cols>
    <col min="1" max="1" width="5" customWidth="1"/>
    <col min="2" max="2" width="47.5703125" customWidth="1"/>
    <col min="3" max="3" width="9.7109375" bestFit="1" customWidth="1"/>
    <col min="4" max="4" width="5.28515625" customWidth="1"/>
    <col min="5" max="5" width="16" customWidth="1"/>
    <col min="6" max="6" width="19" style="1" bestFit="1" customWidth="1"/>
  </cols>
  <sheetData>
    <row r="1" spans="1:11" x14ac:dyDescent="0.25">
      <c r="A1" s="5" t="s">
        <v>11</v>
      </c>
      <c r="B1" s="231" t="s">
        <v>12</v>
      </c>
      <c r="C1" s="232" t="s">
        <v>13</v>
      </c>
      <c r="D1" s="233" t="s">
        <v>14</v>
      </c>
      <c r="E1" s="231" t="s">
        <v>121</v>
      </c>
      <c r="F1" s="9" t="s">
        <v>15</v>
      </c>
    </row>
    <row r="2" spans="1:11" ht="15.75" thickBot="1" x14ac:dyDescent="0.3">
      <c r="A2" s="10">
        <v>2</v>
      </c>
      <c r="B2" s="255" t="s">
        <v>150</v>
      </c>
      <c r="C2" s="256"/>
      <c r="D2" s="256"/>
      <c r="E2" s="256"/>
      <c r="F2" s="11"/>
    </row>
    <row r="3" spans="1:11" ht="15.75" thickTop="1" x14ac:dyDescent="0.25">
      <c r="A3" s="125">
        <v>2.1</v>
      </c>
      <c r="B3" s="234" t="s">
        <v>17</v>
      </c>
      <c r="C3" s="31"/>
      <c r="D3" s="27"/>
      <c r="E3" s="17"/>
      <c r="F3" s="18"/>
    </row>
    <row r="4" spans="1:11" ht="62.25" customHeight="1" x14ac:dyDescent="0.25">
      <c r="A4" s="126"/>
      <c r="B4" s="235" t="s">
        <v>151</v>
      </c>
      <c r="C4" s="31"/>
      <c r="D4" s="27"/>
      <c r="E4" s="28"/>
      <c r="F4" s="29"/>
    </row>
    <row r="5" spans="1:11" ht="15.75" thickBot="1" x14ac:dyDescent="0.3">
      <c r="A5" s="198"/>
      <c r="B5" s="257" t="s">
        <v>84</v>
      </c>
      <c r="C5" s="258"/>
      <c r="D5" s="258"/>
      <c r="E5" s="259"/>
      <c r="F5" s="144">
        <f>SUM(F8:F20)</f>
        <v>0</v>
      </c>
    </row>
    <row r="6" spans="1:11" ht="15.75" thickTop="1" x14ac:dyDescent="0.25">
      <c r="A6" s="197"/>
      <c r="B6" s="14"/>
      <c r="C6" s="31"/>
      <c r="D6" s="27"/>
      <c r="E6" s="17"/>
      <c r="F6" s="34" t="str">
        <f t="shared" ref="F6:F21" si="0">IF(E6="",IF(C6="","",C6*E6),C6*E6)</f>
        <v/>
      </c>
      <c r="J6">
        <f>8.178*7</f>
        <v>57.246000000000009</v>
      </c>
    </row>
    <row r="7" spans="1:11" x14ac:dyDescent="0.25">
      <c r="A7" s="127">
        <v>2.2000000000000002</v>
      </c>
      <c r="B7" s="14" t="s">
        <v>216</v>
      </c>
      <c r="C7" s="31"/>
      <c r="D7" s="27"/>
      <c r="E7" s="28"/>
      <c r="F7" s="34" t="str">
        <f t="shared" si="0"/>
        <v/>
      </c>
      <c r="J7">
        <f>5.443*8</f>
        <v>43.543999999999997</v>
      </c>
    </row>
    <row r="8" spans="1:11" ht="15.75" x14ac:dyDescent="0.25">
      <c r="A8" s="127"/>
      <c r="B8" s="87" t="s">
        <v>233</v>
      </c>
      <c r="C8" s="100">
        <f>2.954*4.179*8*1.3</f>
        <v>128.38556640000002</v>
      </c>
      <c r="D8" s="27" t="s">
        <v>83</v>
      </c>
      <c r="E8" s="28"/>
      <c r="F8" s="34">
        <f t="shared" si="0"/>
        <v>0</v>
      </c>
      <c r="J8">
        <f>J7+J6</f>
        <v>100.79</v>
      </c>
    </row>
    <row r="9" spans="1:11" ht="27.75" customHeight="1" x14ac:dyDescent="0.25">
      <c r="A9" s="127"/>
      <c r="B9" s="87" t="s">
        <v>217</v>
      </c>
      <c r="C9" s="100">
        <f>(8.18*7*0.3*0.725)+(5.443*8*0.3*0.725)</f>
        <v>21.924869999999995</v>
      </c>
      <c r="D9" s="27" t="s">
        <v>83</v>
      </c>
      <c r="E9" s="28"/>
      <c r="F9" s="34">
        <f t="shared" si="0"/>
        <v>0</v>
      </c>
    </row>
    <row r="10" spans="1:11" ht="15.75" x14ac:dyDescent="0.25">
      <c r="A10" s="127"/>
      <c r="B10" s="2" t="s">
        <v>82</v>
      </c>
      <c r="C10" s="100">
        <f>(8.18*7*0.3*0.5)+(5.443*8*0.3*0.5)+(2.954*4.179*8*0.575)</f>
        <v>71.9065236</v>
      </c>
      <c r="D10" s="27" t="s">
        <v>83</v>
      </c>
      <c r="E10" s="28"/>
      <c r="F10" s="34">
        <f t="shared" si="0"/>
        <v>0</v>
      </c>
      <c r="I10" s="121"/>
      <c r="J10" s="121"/>
      <c r="K10" s="121"/>
    </row>
    <row r="11" spans="1:11" x14ac:dyDescent="0.25">
      <c r="A11" s="127"/>
      <c r="B11" s="2"/>
      <c r="C11" s="100"/>
      <c r="D11" s="27"/>
      <c r="E11" s="28"/>
      <c r="F11" s="34" t="str">
        <f t="shared" si="0"/>
        <v/>
      </c>
      <c r="I11" s="121"/>
      <c r="J11" s="121"/>
      <c r="K11" s="121"/>
    </row>
    <row r="12" spans="1:11" x14ac:dyDescent="0.25">
      <c r="A12" s="127">
        <v>2.2999999999999998</v>
      </c>
      <c r="B12" s="14" t="s">
        <v>310</v>
      </c>
      <c r="C12" s="31"/>
      <c r="D12" s="27"/>
      <c r="E12" s="28"/>
      <c r="F12" s="34" t="str">
        <f t="shared" ref="F12" si="1">IF(E12="",IF(C12="","",C12*E12),C12*E12)</f>
        <v/>
      </c>
    </row>
    <row r="13" spans="1:11" ht="25.5" x14ac:dyDescent="0.25">
      <c r="A13" s="127"/>
      <c r="B13" s="36" t="s">
        <v>311</v>
      </c>
      <c r="C13" s="31">
        <v>1</v>
      </c>
      <c r="D13" s="27" t="s">
        <v>24</v>
      </c>
      <c r="E13" s="28"/>
      <c r="F13" s="34">
        <f t="shared" si="0"/>
        <v>0</v>
      </c>
      <c r="H13" s="120"/>
    </row>
    <row r="14" spans="1:11" x14ac:dyDescent="0.25">
      <c r="A14" s="127"/>
      <c r="B14" s="14"/>
      <c r="C14" s="27"/>
      <c r="D14" s="27"/>
      <c r="E14" s="28"/>
      <c r="F14" s="34"/>
    </row>
    <row r="15" spans="1:11" x14ac:dyDescent="0.25">
      <c r="A15" s="127">
        <v>2.4</v>
      </c>
      <c r="B15" s="14" t="s">
        <v>9</v>
      </c>
      <c r="C15" s="31"/>
      <c r="D15" s="27"/>
      <c r="E15" s="28"/>
      <c r="F15" s="34" t="str">
        <f t="shared" si="0"/>
        <v/>
      </c>
    </row>
    <row r="16" spans="1:11" ht="25.5" x14ac:dyDescent="0.25">
      <c r="A16" s="127"/>
      <c r="B16" s="36" t="s">
        <v>65</v>
      </c>
      <c r="C16" s="31">
        <v>1</v>
      </c>
      <c r="D16" s="27" t="s">
        <v>24</v>
      </c>
      <c r="E16" s="28"/>
      <c r="F16" s="34">
        <f t="shared" si="0"/>
        <v>0</v>
      </c>
      <c r="H16" s="120"/>
    </row>
    <row r="17" spans="1:6" x14ac:dyDescent="0.25">
      <c r="A17" s="127"/>
      <c r="B17" s="36"/>
      <c r="C17" s="33"/>
      <c r="D17" s="27"/>
      <c r="E17" s="28"/>
      <c r="F17" s="34" t="str">
        <f t="shared" si="0"/>
        <v/>
      </c>
    </row>
    <row r="18" spans="1:6" x14ac:dyDescent="0.25">
      <c r="A18" s="127"/>
      <c r="B18" s="36"/>
      <c r="C18" s="33"/>
      <c r="D18" s="27"/>
      <c r="E18" s="28"/>
      <c r="F18" s="34" t="str">
        <f t="shared" si="0"/>
        <v/>
      </c>
    </row>
    <row r="19" spans="1:6" x14ac:dyDescent="0.25">
      <c r="A19" s="127">
        <v>2.5</v>
      </c>
      <c r="B19" s="14" t="s">
        <v>81</v>
      </c>
      <c r="C19" s="33"/>
      <c r="D19" s="27"/>
      <c r="E19" s="28"/>
      <c r="F19" s="34" t="str">
        <f t="shared" si="0"/>
        <v/>
      </c>
    </row>
    <row r="20" spans="1:6" ht="17.25" customHeight="1" x14ac:dyDescent="0.25">
      <c r="A20" s="60"/>
      <c r="B20" s="36" t="s">
        <v>80</v>
      </c>
      <c r="C20" s="100">
        <f>(C9+C8)-C10</f>
        <v>78.403912800000015</v>
      </c>
      <c r="D20" s="27" t="s">
        <v>153</v>
      </c>
      <c r="E20" s="28"/>
      <c r="F20" s="34">
        <f t="shared" si="0"/>
        <v>0</v>
      </c>
    </row>
    <row r="21" spans="1:6" x14ac:dyDescent="0.25">
      <c r="A21" s="60"/>
      <c r="B21" s="36"/>
      <c r="C21" s="33"/>
      <c r="D21" s="27"/>
      <c r="E21" s="28"/>
      <c r="F21" s="34" t="str">
        <f t="shared" si="0"/>
        <v/>
      </c>
    </row>
    <row r="22" spans="1:6" x14ac:dyDescent="0.25">
      <c r="A22" s="145"/>
      <c r="B22" s="146"/>
      <c r="C22" s="146"/>
      <c r="D22" s="146"/>
      <c r="E22" s="146"/>
      <c r="F22" s="147" t="s">
        <v>178</v>
      </c>
    </row>
  </sheetData>
  <mergeCells count="2">
    <mergeCell ref="B2:E2"/>
    <mergeCell ref="B5:E5"/>
  </mergeCells>
  <pageMargins left="0.7" right="0.7" top="0.75" bottom="0.75" header="0.3" footer="0.3"/>
  <pageSetup paperSize="9" scale="85"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9"/>
  <sheetViews>
    <sheetView view="pageBreakPreview" zoomScale="85" zoomScaleNormal="70" zoomScaleSheetLayoutView="85" workbookViewId="0">
      <selection activeCell="G172" sqref="G172"/>
    </sheetView>
  </sheetViews>
  <sheetFormatPr defaultRowHeight="15" x14ac:dyDescent="0.25"/>
  <cols>
    <col min="1" max="1" width="5" customWidth="1"/>
    <col min="2" max="2" width="47.5703125" customWidth="1"/>
    <col min="3" max="3" width="9.85546875" bestFit="1" customWidth="1"/>
    <col min="4" max="4" width="6.5703125" customWidth="1"/>
    <col min="5" max="5" width="15.140625" customWidth="1"/>
    <col min="6" max="6" width="19" style="1" bestFit="1" customWidth="1"/>
    <col min="9" max="9" width="10.7109375" bestFit="1" customWidth="1"/>
    <col min="10" max="10" width="11.140625" bestFit="1" customWidth="1"/>
  </cols>
  <sheetData>
    <row r="1" spans="1:18" x14ac:dyDescent="0.25">
      <c r="A1" s="5" t="s">
        <v>11</v>
      </c>
      <c r="B1" s="6" t="s">
        <v>12</v>
      </c>
      <c r="C1" s="7" t="s">
        <v>13</v>
      </c>
      <c r="D1" s="8" t="s">
        <v>14</v>
      </c>
      <c r="E1" s="6" t="s">
        <v>138</v>
      </c>
      <c r="F1" s="9" t="s">
        <v>15</v>
      </c>
    </row>
    <row r="2" spans="1:18" ht="15.75" thickBot="1" x14ac:dyDescent="0.3">
      <c r="A2" s="10">
        <v>3</v>
      </c>
      <c r="B2" s="262" t="s">
        <v>97</v>
      </c>
      <c r="C2" s="263"/>
      <c r="D2" s="263"/>
      <c r="E2" s="263"/>
      <c r="F2" s="11"/>
    </row>
    <row r="3" spans="1:18" ht="15.75" thickTop="1" x14ac:dyDescent="0.25">
      <c r="A3" s="13">
        <v>3.1</v>
      </c>
      <c r="B3" s="14" t="s">
        <v>17</v>
      </c>
      <c r="C3" s="31"/>
      <c r="D3" s="27"/>
      <c r="E3" s="17"/>
      <c r="F3" s="18"/>
    </row>
    <row r="4" spans="1:18" ht="69" customHeight="1" x14ac:dyDescent="0.25">
      <c r="A4" s="89" t="s">
        <v>29</v>
      </c>
      <c r="B4" s="2" t="s">
        <v>96</v>
      </c>
      <c r="C4" s="31"/>
      <c r="D4" s="27"/>
      <c r="E4" s="28"/>
      <c r="F4" s="29"/>
    </row>
    <row r="5" spans="1:18" ht="59.25" customHeight="1" x14ac:dyDescent="0.25">
      <c r="A5" s="89" t="s">
        <v>27</v>
      </c>
      <c r="B5" s="2" t="s">
        <v>95</v>
      </c>
      <c r="C5" s="31"/>
      <c r="D5" s="27"/>
      <c r="E5" s="28"/>
      <c r="F5" s="29"/>
    </row>
    <row r="6" spans="1:18" ht="70.5" customHeight="1" x14ac:dyDescent="0.25">
      <c r="A6" s="25" t="s">
        <v>40</v>
      </c>
      <c r="B6" s="2" t="s">
        <v>94</v>
      </c>
      <c r="C6" s="31"/>
      <c r="D6" s="27"/>
      <c r="E6" s="28"/>
      <c r="F6" s="29"/>
    </row>
    <row r="7" spans="1:18" ht="69.75" customHeight="1" x14ac:dyDescent="0.25">
      <c r="A7" s="25" t="s">
        <v>38</v>
      </c>
      <c r="B7" s="2" t="s">
        <v>93</v>
      </c>
      <c r="C7" s="31"/>
      <c r="D7" s="27"/>
      <c r="E7" s="28"/>
      <c r="F7" s="29"/>
    </row>
    <row r="8" spans="1:18" ht="29.25" customHeight="1" x14ac:dyDescent="0.25">
      <c r="A8" s="25" t="s">
        <v>26</v>
      </c>
      <c r="B8" s="2" t="s">
        <v>92</v>
      </c>
      <c r="C8" s="31"/>
      <c r="D8" s="27"/>
      <c r="E8" s="28"/>
      <c r="F8" s="29"/>
    </row>
    <row r="9" spans="1:18" ht="48" customHeight="1" x14ac:dyDescent="0.25">
      <c r="A9" s="25" t="s">
        <v>91</v>
      </c>
      <c r="B9" s="2" t="s">
        <v>90</v>
      </c>
      <c r="C9" s="31"/>
      <c r="D9" s="27"/>
      <c r="E9" s="28"/>
      <c r="F9" s="29"/>
      <c r="Q9">
        <f>75/1000</f>
        <v>7.4999999999999997E-2</v>
      </c>
    </row>
    <row r="10" spans="1:18" ht="39" customHeight="1" x14ac:dyDescent="0.25">
      <c r="A10" s="25" t="s">
        <v>176</v>
      </c>
      <c r="B10" s="2" t="s">
        <v>88</v>
      </c>
      <c r="C10" s="31"/>
      <c r="D10" s="27"/>
      <c r="E10" s="28"/>
      <c r="F10" s="29"/>
    </row>
    <row r="11" spans="1:18" ht="69" customHeight="1" x14ac:dyDescent="0.25">
      <c r="A11" s="25" t="s">
        <v>89</v>
      </c>
      <c r="B11" s="88" t="s">
        <v>87</v>
      </c>
      <c r="C11" s="31"/>
      <c r="D11" s="27"/>
      <c r="E11" s="28"/>
      <c r="F11" s="29"/>
    </row>
    <row r="12" spans="1:18" x14ac:dyDescent="0.25">
      <c r="A12" s="25" t="s">
        <v>86</v>
      </c>
      <c r="B12" s="2" t="s">
        <v>85</v>
      </c>
      <c r="C12" s="31">
        <v>1</v>
      </c>
      <c r="D12" s="27" t="s">
        <v>24</v>
      </c>
      <c r="E12" s="28"/>
      <c r="F12" s="34">
        <f>IF(E12="",IF(C12="","",C12*E12),C12*E12)</f>
        <v>0</v>
      </c>
    </row>
    <row r="13" spans="1:18" x14ac:dyDescent="0.25">
      <c r="A13" s="149"/>
      <c r="B13" s="150"/>
      <c r="C13" s="151"/>
      <c r="D13" s="152"/>
      <c r="E13" s="153"/>
      <c r="F13" s="154"/>
      <c r="R13">
        <f>2.954+2.954+4.179+4.179</f>
        <v>14.266</v>
      </c>
    </row>
    <row r="14" spans="1:18" ht="15.75" thickBot="1" x14ac:dyDescent="0.3">
      <c r="A14" s="199">
        <v>3.2</v>
      </c>
      <c r="B14" s="260" t="s">
        <v>84</v>
      </c>
      <c r="C14" s="261"/>
      <c r="D14" s="261"/>
      <c r="E14" s="261"/>
      <c r="F14" s="155">
        <f>SUM(F35:F78)</f>
        <v>0</v>
      </c>
      <c r="R14">
        <f>R13*0.575*8</f>
        <v>65.623599999999996</v>
      </c>
    </row>
    <row r="15" spans="1:18" ht="15.75" thickTop="1" x14ac:dyDescent="0.25">
      <c r="A15" s="30"/>
      <c r="B15" s="14"/>
      <c r="C15" s="31"/>
      <c r="D15" s="27"/>
      <c r="E15" s="17"/>
      <c r="F15" s="79"/>
    </row>
    <row r="16" spans="1:18" x14ac:dyDescent="0.25">
      <c r="A16" s="30"/>
      <c r="B16" s="14" t="s">
        <v>314</v>
      </c>
      <c r="C16" s="31"/>
      <c r="D16" s="27"/>
      <c r="E16" s="17"/>
      <c r="F16" s="34" t="str">
        <f t="shared" ref="F16" si="0">IF(E16="","",C16*E16)</f>
        <v/>
      </c>
    </row>
    <row r="17" spans="1:28" x14ac:dyDescent="0.25">
      <c r="A17" s="86"/>
      <c r="B17" s="14" t="s">
        <v>316</v>
      </c>
      <c r="C17" s="27"/>
      <c r="D17" s="27"/>
      <c r="E17" s="28"/>
      <c r="F17" s="34" t="str">
        <f t="shared" ref="F17:F24" si="1">IF(E17="",IF(C17="","",C17*E17),C17*E17)</f>
        <v/>
      </c>
    </row>
    <row r="18" spans="1:28" ht="15.75" x14ac:dyDescent="0.25">
      <c r="A18" s="60"/>
      <c r="B18" s="2" t="s">
        <v>123</v>
      </c>
      <c r="C18" s="31">
        <f>M21</f>
        <v>5.7749999999999995</v>
      </c>
      <c r="D18" s="27" t="s">
        <v>83</v>
      </c>
      <c r="E18" s="28"/>
      <c r="F18" s="34">
        <f t="shared" si="1"/>
        <v>0</v>
      </c>
    </row>
    <row r="19" spans="1:28" x14ac:dyDescent="0.25">
      <c r="A19" s="86"/>
      <c r="B19" s="36" t="s">
        <v>0</v>
      </c>
      <c r="C19" s="31"/>
      <c r="D19" s="27"/>
      <c r="E19" s="28"/>
      <c r="F19" s="34" t="str">
        <f t="shared" si="1"/>
        <v/>
      </c>
      <c r="Q19" t="s">
        <v>219</v>
      </c>
    </row>
    <row r="20" spans="1:28" x14ac:dyDescent="0.25">
      <c r="A20" s="60"/>
      <c r="B20" s="90" t="s">
        <v>125</v>
      </c>
      <c r="C20" s="31">
        <f>AA21</f>
        <v>104.94814814814816</v>
      </c>
      <c r="D20" s="27" t="s">
        <v>157</v>
      </c>
      <c r="E20" s="28"/>
      <c r="F20" s="34">
        <f t="shared" si="1"/>
        <v>0</v>
      </c>
      <c r="J20" t="s">
        <v>204</v>
      </c>
      <c r="K20" t="s">
        <v>27</v>
      </c>
      <c r="L20" t="s">
        <v>200</v>
      </c>
      <c r="M20" t="s">
        <v>218</v>
      </c>
      <c r="N20" t="s">
        <v>222</v>
      </c>
      <c r="Q20" t="s">
        <v>220</v>
      </c>
      <c r="R20" t="s">
        <v>10</v>
      </c>
      <c r="S20" t="s">
        <v>221</v>
      </c>
      <c r="T20" t="s">
        <v>205</v>
      </c>
      <c r="V20" s="224" t="s">
        <v>206</v>
      </c>
      <c r="W20" s="224" t="s">
        <v>207</v>
      </c>
      <c r="X20" s="224" t="s">
        <v>208</v>
      </c>
      <c r="Y20" s="224" t="s">
        <v>209</v>
      </c>
      <c r="Z20" s="224" t="s">
        <v>210</v>
      </c>
      <c r="AA20" s="224" t="s">
        <v>205</v>
      </c>
    </row>
    <row r="21" spans="1:28" x14ac:dyDescent="0.25">
      <c r="A21" s="60"/>
      <c r="B21" s="90" t="s">
        <v>254</v>
      </c>
      <c r="C21" s="31">
        <f>T21</f>
        <v>204.74833808167139</v>
      </c>
      <c r="D21" s="27" t="s">
        <v>157</v>
      </c>
      <c r="E21" s="28"/>
      <c r="F21" s="34">
        <f t="shared" si="1"/>
        <v>0</v>
      </c>
      <c r="J21" s="236">
        <v>77</v>
      </c>
      <c r="K21" s="236">
        <v>0.3</v>
      </c>
      <c r="L21" s="236">
        <v>0.25</v>
      </c>
      <c r="M21" s="237">
        <f>L21*K21*J21</f>
        <v>5.7749999999999995</v>
      </c>
      <c r="N21">
        <f>(K21+K21+L21)*J21</f>
        <v>65.45</v>
      </c>
      <c r="Q21" s="236">
        <v>10</v>
      </c>
      <c r="R21" s="236">
        <v>4</v>
      </c>
      <c r="S21">
        <f>((((J21/5.2)*(40*Q21))/1000)+J21)*R21</f>
        <v>331.69230769230768</v>
      </c>
      <c r="T21">
        <f>((S21*(Q21*Q21))/162)</f>
        <v>204.74833808167139</v>
      </c>
      <c r="W21" s="223">
        <v>1</v>
      </c>
      <c r="X21" s="223">
        <v>0.15</v>
      </c>
      <c r="Y21">
        <f>(J21*W21)/X21</f>
        <v>513.33333333333337</v>
      </c>
      <c r="Z21">
        <f>(((K21-0.045)+(L21-0.045))*2)*Y21</f>
        <v>472.26666666666671</v>
      </c>
      <c r="AA21">
        <f>((6*6)*Z21)/162</f>
        <v>104.94814814814816</v>
      </c>
    </row>
    <row r="22" spans="1:28" x14ac:dyDescent="0.25">
      <c r="A22" s="60"/>
      <c r="B22" s="90" t="s">
        <v>98</v>
      </c>
      <c r="C22" s="31">
        <v>1</v>
      </c>
      <c r="D22" s="27" t="s">
        <v>124</v>
      </c>
      <c r="E22" s="28"/>
      <c r="F22" s="34">
        <f t="shared" si="1"/>
        <v>0</v>
      </c>
    </row>
    <row r="23" spans="1:28" x14ac:dyDescent="0.25">
      <c r="A23" s="60"/>
      <c r="B23" s="88" t="s">
        <v>1</v>
      </c>
      <c r="C23" s="27"/>
      <c r="D23" s="27"/>
      <c r="E23" s="28"/>
      <c r="F23" s="34" t="str">
        <f t="shared" si="1"/>
        <v/>
      </c>
    </row>
    <row r="24" spans="1:28" ht="43.5" customHeight="1" x14ac:dyDescent="0.25">
      <c r="A24" s="60"/>
      <c r="B24" s="2" t="s">
        <v>99</v>
      </c>
      <c r="C24" s="31">
        <v>65.45</v>
      </c>
      <c r="D24" s="27" t="s">
        <v>23</v>
      </c>
      <c r="E24" s="28"/>
      <c r="F24" s="34">
        <f t="shared" si="1"/>
        <v>0</v>
      </c>
    </row>
    <row r="25" spans="1:28" x14ac:dyDescent="0.25">
      <c r="A25" s="30"/>
      <c r="B25" s="2"/>
      <c r="C25" s="247"/>
      <c r="D25" s="217"/>
      <c r="E25" s="17"/>
      <c r="F25" s="34"/>
      <c r="W25" s="224"/>
      <c r="X25" s="224"/>
      <c r="Y25" s="224"/>
      <c r="Z25" s="224"/>
      <c r="AA25" s="224"/>
      <c r="AB25" s="224"/>
    </row>
    <row r="26" spans="1:28" x14ac:dyDescent="0.25">
      <c r="A26" s="86"/>
      <c r="B26" s="14" t="s">
        <v>317</v>
      </c>
      <c r="C26" s="27"/>
      <c r="D26" s="27"/>
      <c r="E26" s="28"/>
      <c r="F26" s="34" t="str">
        <f t="shared" ref="F26:F32" si="2">IF(E26="",IF(C26="","",C26*E26),C26*E26)</f>
        <v/>
      </c>
    </row>
    <row r="27" spans="1:28" ht="15.75" x14ac:dyDescent="0.25">
      <c r="A27" s="60"/>
      <c r="B27" s="2" t="s">
        <v>123</v>
      </c>
      <c r="C27" s="31">
        <f>M29</f>
        <v>0.92400000000000004</v>
      </c>
      <c r="D27" s="27" t="s">
        <v>83</v>
      </c>
      <c r="E27" s="28"/>
      <c r="F27" s="34">
        <f t="shared" si="2"/>
        <v>0</v>
      </c>
    </row>
    <row r="28" spans="1:28" x14ac:dyDescent="0.25">
      <c r="A28" s="86"/>
      <c r="B28" s="36" t="s">
        <v>0</v>
      </c>
      <c r="C28" s="31"/>
      <c r="D28" s="27"/>
      <c r="E28" s="28"/>
      <c r="F28" s="34" t="str">
        <f t="shared" si="2"/>
        <v/>
      </c>
      <c r="Q28" t="s">
        <v>219</v>
      </c>
    </row>
    <row r="29" spans="1:28" x14ac:dyDescent="0.25">
      <c r="A29" s="60"/>
      <c r="B29" s="90" t="s">
        <v>254</v>
      </c>
      <c r="C29" s="31">
        <f>T29</f>
        <v>102.3741690408357</v>
      </c>
      <c r="D29" s="27" t="s">
        <v>157</v>
      </c>
      <c r="E29" s="28"/>
      <c r="F29" s="34">
        <f t="shared" si="2"/>
        <v>0</v>
      </c>
      <c r="J29" s="236">
        <v>77</v>
      </c>
      <c r="K29" s="236">
        <v>1</v>
      </c>
      <c r="L29" s="236">
        <v>0.31</v>
      </c>
      <c r="M29" s="237">
        <f>0.012*J29</f>
        <v>0.92400000000000004</v>
      </c>
      <c r="N29">
        <f>(L29)*J29</f>
        <v>23.87</v>
      </c>
      <c r="Q29" s="236">
        <v>10</v>
      </c>
      <c r="R29" s="236">
        <v>2</v>
      </c>
      <c r="S29">
        <f>((((J29/5.2)*(40*Q29))/1000)+J29)*R29</f>
        <v>165.84615384615384</v>
      </c>
      <c r="T29">
        <f>((S29*(Q29*Q29))/162)</f>
        <v>102.3741690408357</v>
      </c>
      <c r="W29" s="223">
        <v>2</v>
      </c>
      <c r="X29" s="223">
        <v>0.1</v>
      </c>
      <c r="Y29">
        <f>(J29*W29)/X29</f>
        <v>1540</v>
      </c>
      <c r="Z29">
        <f>(((K29-0.045)+(L29-0.045))*2)*Y29</f>
        <v>3757.6</v>
      </c>
      <c r="AA29">
        <f>((6*6)*Z29)/162</f>
        <v>835.02222222222224</v>
      </c>
    </row>
    <row r="30" spans="1:28" x14ac:dyDescent="0.25">
      <c r="A30" s="60"/>
      <c r="B30" s="90" t="s">
        <v>98</v>
      </c>
      <c r="C30" s="31">
        <v>1</v>
      </c>
      <c r="D30" s="27" t="s">
        <v>124</v>
      </c>
      <c r="E30" s="28"/>
      <c r="F30" s="34">
        <f t="shared" si="2"/>
        <v>0</v>
      </c>
    </row>
    <row r="31" spans="1:28" x14ac:dyDescent="0.25">
      <c r="A31" s="60"/>
      <c r="B31" s="88" t="s">
        <v>1</v>
      </c>
      <c r="C31" s="27"/>
      <c r="D31" s="27"/>
      <c r="E31" s="28"/>
      <c r="F31" s="34" t="str">
        <f t="shared" si="2"/>
        <v/>
      </c>
    </row>
    <row r="32" spans="1:28" ht="43.5" customHeight="1" x14ac:dyDescent="0.25">
      <c r="A32" s="60"/>
      <c r="B32" s="2" t="s">
        <v>99</v>
      </c>
      <c r="C32" s="31">
        <v>23.87</v>
      </c>
      <c r="D32" s="27" t="s">
        <v>23</v>
      </c>
      <c r="E32" s="28"/>
      <c r="F32" s="34">
        <f t="shared" si="2"/>
        <v>0</v>
      </c>
    </row>
    <row r="33" spans="1:28" x14ac:dyDescent="0.25">
      <c r="A33" s="30"/>
      <c r="B33" s="14"/>
      <c r="C33" s="31"/>
      <c r="D33" s="27"/>
      <c r="E33" s="17"/>
      <c r="F33" s="79"/>
      <c r="K33" s="236">
        <v>100.79</v>
      </c>
      <c r="L33" s="236">
        <v>0.5</v>
      </c>
      <c r="M33" s="236">
        <v>0.3</v>
      </c>
      <c r="N33" s="237">
        <f>M33*L33*K33</f>
        <v>15.118500000000001</v>
      </c>
      <c r="O33">
        <f>(L33+L33+M33)*K33</f>
        <v>131.02700000000002</v>
      </c>
      <c r="R33" s="236">
        <v>20</v>
      </c>
      <c r="S33" s="236">
        <v>8</v>
      </c>
      <c r="T33">
        <f>((((K33/5.2)*(40*R33))/1000)+K33)*S33</f>
        <v>930.36923076923085</v>
      </c>
      <c r="U33">
        <f>((T33*(R33*R33))/162)</f>
        <v>2297.2079772079778</v>
      </c>
      <c r="X33" s="223">
        <v>2</v>
      </c>
      <c r="Y33" s="223">
        <v>0.1</v>
      </c>
      <c r="Z33">
        <f>(K33*X33)/Y33</f>
        <v>2015.8</v>
      </c>
      <c r="AA33">
        <f>(((L33-0.045)+(M33-0.045))*2)*Z33</f>
        <v>2862.4359999999997</v>
      </c>
      <c r="AB33">
        <f>((6*6)*AA33)/162</f>
        <v>636.09688888888888</v>
      </c>
    </row>
    <row r="34" spans="1:28" x14ac:dyDescent="0.25">
      <c r="A34" s="86"/>
      <c r="B34" s="14" t="s">
        <v>101</v>
      </c>
      <c r="C34" s="27"/>
      <c r="D34" s="27"/>
      <c r="E34" s="28"/>
      <c r="F34" s="34" t="str">
        <f t="shared" ref="F34:F76" si="3">IF(E34="",IF(C34="","",C34*E34),C34*E34)</f>
        <v/>
      </c>
      <c r="I34" s="3"/>
    </row>
    <row r="35" spans="1:28" ht="15" customHeight="1" x14ac:dyDescent="0.25">
      <c r="A35" s="60"/>
      <c r="B35" s="2" t="s">
        <v>231</v>
      </c>
      <c r="C35" s="31">
        <f>(8.18*7*0.3*0.5*0.05)+(5.443*8*0.3*0.5*0.05)+(2.954*4.179*8*0.05)</f>
        <v>5.693936400000001</v>
      </c>
      <c r="D35" s="27" t="s">
        <v>83</v>
      </c>
      <c r="E35" s="28"/>
      <c r="F35" s="34">
        <f t="shared" si="3"/>
        <v>0</v>
      </c>
      <c r="J35" s="3"/>
    </row>
    <row r="36" spans="1:28" x14ac:dyDescent="0.25">
      <c r="A36" s="60"/>
      <c r="B36" s="90"/>
      <c r="C36" s="31"/>
      <c r="D36" s="27"/>
      <c r="E36" s="28"/>
      <c r="F36" s="34" t="str">
        <f t="shared" si="3"/>
        <v/>
      </c>
    </row>
    <row r="37" spans="1:28" x14ac:dyDescent="0.25">
      <c r="A37" s="86"/>
      <c r="B37" s="14" t="s">
        <v>213</v>
      </c>
      <c r="C37" s="27"/>
      <c r="D37" s="27"/>
      <c r="E37" s="28"/>
      <c r="F37" s="34" t="str">
        <f t="shared" si="3"/>
        <v/>
      </c>
      <c r="K37">
        <v>2.9540000000000002</v>
      </c>
      <c r="L37">
        <f>2.957/0.075</f>
        <v>39.426666666666669</v>
      </c>
      <c r="M37">
        <f>L37*K38</f>
        <v>164.76404000000002</v>
      </c>
      <c r="N37">
        <f>M37+M38</f>
        <v>329.36092000000008</v>
      </c>
      <c r="O37">
        <f>(N37*(16*16))/162</f>
        <v>520.47157728395075</v>
      </c>
      <c r="P37">
        <f>O37*8</f>
        <v>4163.772618271606</v>
      </c>
    </row>
    <row r="38" spans="1:28" ht="15.75" x14ac:dyDescent="0.25">
      <c r="A38" s="60"/>
      <c r="B38" s="2" t="s">
        <v>122</v>
      </c>
      <c r="C38" s="31">
        <f>2.954*4.179*8*0.575+(2.954*4.179*8)</f>
        <v>155.54405160000002</v>
      </c>
      <c r="D38" s="27" t="s">
        <v>83</v>
      </c>
      <c r="E38" s="28"/>
      <c r="F38" s="34">
        <f t="shared" si="3"/>
        <v>0</v>
      </c>
      <c r="K38">
        <v>4.1790000000000003</v>
      </c>
      <c r="L38">
        <f>4.179/0.075</f>
        <v>55.720000000000006</v>
      </c>
      <c r="M38">
        <f>L38*K37</f>
        <v>164.59688000000003</v>
      </c>
    </row>
    <row r="39" spans="1:28" x14ac:dyDescent="0.25">
      <c r="A39" s="86"/>
      <c r="B39" s="36" t="s">
        <v>0</v>
      </c>
      <c r="C39" s="31"/>
      <c r="D39" s="27"/>
      <c r="E39" s="28"/>
      <c r="F39" s="34" t="str">
        <f t="shared" si="3"/>
        <v/>
      </c>
      <c r="K39">
        <f>550/200</f>
        <v>2.75</v>
      </c>
      <c r="L39">
        <f>K39*0.55</f>
        <v>1.5125000000000002</v>
      </c>
      <c r="N39">
        <f>L39+L40</f>
        <v>3.0250000000000004</v>
      </c>
      <c r="O39">
        <f>N39*12</f>
        <v>36.300000000000004</v>
      </c>
      <c r="P39">
        <f>(O39*100)/162</f>
        <v>22.407407407407412</v>
      </c>
    </row>
    <row r="40" spans="1:28" x14ac:dyDescent="0.25">
      <c r="A40" s="60"/>
      <c r="B40" s="90" t="s">
        <v>234</v>
      </c>
      <c r="C40" s="31">
        <v>4163.7730000000001</v>
      </c>
      <c r="D40" s="27" t="s">
        <v>157</v>
      </c>
      <c r="E40" s="28"/>
      <c r="F40" s="34">
        <f t="shared" si="3"/>
        <v>0</v>
      </c>
      <c r="K40">
        <f>550/200</f>
        <v>2.75</v>
      </c>
      <c r="L40">
        <f>K40*0.55</f>
        <v>1.5125000000000002</v>
      </c>
    </row>
    <row r="41" spans="1:28" ht="15.75" x14ac:dyDescent="0.25">
      <c r="A41" s="86"/>
      <c r="B41" s="36" t="s">
        <v>100</v>
      </c>
      <c r="C41" s="31">
        <v>65.623599999999996</v>
      </c>
      <c r="D41" s="27" t="s">
        <v>23</v>
      </c>
      <c r="E41" s="28"/>
      <c r="F41" s="34">
        <f t="shared" si="3"/>
        <v>0</v>
      </c>
    </row>
    <row r="42" spans="1:28" x14ac:dyDescent="0.25">
      <c r="A42" s="60"/>
      <c r="B42" s="88" t="s">
        <v>1</v>
      </c>
      <c r="C42" s="27"/>
      <c r="D42" s="27"/>
      <c r="E42" s="28"/>
      <c r="F42" s="34" t="str">
        <f t="shared" si="3"/>
        <v/>
      </c>
    </row>
    <row r="43" spans="1:28" ht="43.5" customHeight="1" x14ac:dyDescent="0.25">
      <c r="A43" s="60"/>
      <c r="B43" s="2" t="s">
        <v>99</v>
      </c>
      <c r="C43" s="31">
        <v>65.62</v>
      </c>
      <c r="D43" s="27" t="s">
        <v>23</v>
      </c>
      <c r="E43" s="28"/>
      <c r="F43" s="34">
        <f t="shared" si="3"/>
        <v>0</v>
      </c>
      <c r="T43">
        <f>4*4*0.65</f>
        <v>10.4</v>
      </c>
    </row>
    <row r="44" spans="1:28" x14ac:dyDescent="0.25">
      <c r="A44" s="60"/>
      <c r="B44" s="90"/>
      <c r="C44" s="31"/>
      <c r="D44" s="27"/>
      <c r="E44" s="28"/>
      <c r="F44" s="34" t="str">
        <f t="shared" ref="F44:F51" si="4">IF(E44="",IF(C44="","",C44*E44),C44*E44)</f>
        <v/>
      </c>
      <c r="T44">
        <f>2.4*2.4*0.55</f>
        <v>3.1680000000000001</v>
      </c>
    </row>
    <row r="45" spans="1:28" x14ac:dyDescent="0.25">
      <c r="A45" s="86"/>
      <c r="B45" s="14" t="s">
        <v>266</v>
      </c>
      <c r="C45" s="27"/>
      <c r="D45" s="27"/>
      <c r="E45" s="28"/>
      <c r="F45" s="34" t="str">
        <f t="shared" si="4"/>
        <v/>
      </c>
      <c r="K45">
        <v>4</v>
      </c>
      <c r="L45">
        <f>4/0.075</f>
        <v>53.333333333333336</v>
      </c>
      <c r="M45">
        <f>L45*K46</f>
        <v>213.33333333333334</v>
      </c>
      <c r="N45">
        <f>M45+M46</f>
        <v>426.66666666666669</v>
      </c>
      <c r="O45">
        <f>(N45*(16*16))/162</f>
        <v>674.23868312757202</v>
      </c>
      <c r="T45">
        <f>SUM(T43:T44)</f>
        <v>13.568000000000001</v>
      </c>
    </row>
    <row r="46" spans="1:28" ht="15.75" x14ac:dyDescent="0.25">
      <c r="A46" s="60"/>
      <c r="B46" s="2" t="s">
        <v>122</v>
      </c>
      <c r="C46" s="31">
        <v>13.568</v>
      </c>
      <c r="D46" s="27" t="s">
        <v>83</v>
      </c>
      <c r="E46" s="28"/>
      <c r="F46" s="34">
        <f t="shared" si="4"/>
        <v>0</v>
      </c>
      <c r="K46">
        <v>4</v>
      </c>
      <c r="L46">
        <f>4/0.075</f>
        <v>53.333333333333336</v>
      </c>
      <c r="M46">
        <f>L46*K45</f>
        <v>213.33333333333334</v>
      </c>
    </row>
    <row r="47" spans="1:28" x14ac:dyDescent="0.25">
      <c r="A47" s="86"/>
      <c r="B47" s="36" t="s">
        <v>0</v>
      </c>
      <c r="C47" s="31"/>
      <c r="D47" s="27"/>
      <c r="E47" s="28"/>
      <c r="F47" s="34" t="str">
        <f t="shared" si="4"/>
        <v/>
      </c>
      <c r="K47">
        <f>550/200</f>
        <v>2.75</v>
      </c>
      <c r="L47">
        <f>K47*0.55</f>
        <v>1.5125000000000002</v>
      </c>
      <c r="N47">
        <f>L47+L48</f>
        <v>3.0250000000000004</v>
      </c>
      <c r="O47">
        <f>N47*12</f>
        <v>36.300000000000004</v>
      </c>
      <c r="P47">
        <f>(O47*100)/162</f>
        <v>22.407407407407412</v>
      </c>
    </row>
    <row r="48" spans="1:28" x14ac:dyDescent="0.25">
      <c r="A48" s="60"/>
      <c r="B48" s="90" t="s">
        <v>234</v>
      </c>
      <c r="C48" s="31">
        <v>674.23</v>
      </c>
      <c r="D48" s="27" t="s">
        <v>157</v>
      </c>
      <c r="E48" s="28"/>
      <c r="F48" s="34">
        <f t="shared" si="4"/>
        <v>0</v>
      </c>
      <c r="K48">
        <f>550/200</f>
        <v>2.75</v>
      </c>
      <c r="L48">
        <f>K48*0.55</f>
        <v>1.5125000000000002</v>
      </c>
    </row>
    <row r="49" spans="1:24" ht="15.75" x14ac:dyDescent="0.25">
      <c r="A49" s="86"/>
      <c r="B49" s="36" t="s">
        <v>100</v>
      </c>
      <c r="C49" s="31">
        <f>16*0.55</f>
        <v>8.8000000000000007</v>
      </c>
      <c r="D49" s="27" t="s">
        <v>23</v>
      </c>
      <c r="E49" s="28"/>
      <c r="F49" s="34">
        <f t="shared" si="4"/>
        <v>0</v>
      </c>
    </row>
    <row r="50" spans="1:24" x14ac:dyDescent="0.25">
      <c r="A50" s="60"/>
      <c r="B50" s="88" t="s">
        <v>1</v>
      </c>
      <c r="C50" s="27"/>
      <c r="D50" s="27"/>
      <c r="E50" s="28"/>
      <c r="F50" s="34" t="str">
        <f t="shared" si="4"/>
        <v/>
      </c>
    </row>
    <row r="51" spans="1:24" ht="43.5" customHeight="1" x14ac:dyDescent="0.25">
      <c r="A51" s="60"/>
      <c r="B51" s="2" t="s">
        <v>99</v>
      </c>
      <c r="C51" s="31">
        <v>8.8000000000000007</v>
      </c>
      <c r="D51" s="27" t="s">
        <v>23</v>
      </c>
      <c r="E51" s="28"/>
      <c r="F51" s="34">
        <f t="shared" si="4"/>
        <v>0</v>
      </c>
    </row>
    <row r="52" spans="1:24" x14ac:dyDescent="0.25">
      <c r="A52" s="60"/>
      <c r="B52" s="90"/>
      <c r="C52" s="31"/>
      <c r="D52" s="27"/>
      <c r="E52" s="28"/>
      <c r="F52" s="34" t="str">
        <f t="shared" ref="F52:F59" si="5">IF(E52="",IF(C52="","",C52*E52),C52*E52)</f>
        <v/>
      </c>
    </row>
    <row r="53" spans="1:24" x14ac:dyDescent="0.25">
      <c r="A53" s="86"/>
      <c r="B53" s="14" t="s">
        <v>261</v>
      </c>
      <c r="C53" s="27"/>
      <c r="D53" s="27"/>
      <c r="E53" s="28"/>
      <c r="F53" s="34" t="str">
        <f t="shared" si="5"/>
        <v/>
      </c>
      <c r="K53">
        <v>1.4</v>
      </c>
      <c r="L53">
        <f>1.4/0.075</f>
        <v>18.666666666666668</v>
      </c>
      <c r="M53">
        <f>L53*K54</f>
        <v>18.666666666666668</v>
      </c>
      <c r="N53">
        <f>M53+M54</f>
        <v>37.333333333333336</v>
      </c>
      <c r="O53">
        <f>(N53*(16*16))/162</f>
        <v>58.995884773662553</v>
      </c>
      <c r="S53">
        <v>1.4</v>
      </c>
      <c r="T53">
        <f>1.4/0.075</f>
        <v>18.666666666666668</v>
      </c>
      <c r="U53">
        <f>T53*S54</f>
        <v>11.200000000000001</v>
      </c>
      <c r="V53">
        <f>U53+U54</f>
        <v>22.4</v>
      </c>
      <c r="W53">
        <f>(V53*(16*16))/162</f>
        <v>35.397530864197527</v>
      </c>
    </row>
    <row r="54" spans="1:24" ht="15.75" x14ac:dyDescent="0.25">
      <c r="A54" s="60"/>
      <c r="B54" s="2" t="s">
        <v>122</v>
      </c>
      <c r="C54" s="31">
        <f>(1*1.4*0.3)+(0.6*0.3*0.14)+(1.3*0.15*1.4)</f>
        <v>0.71819999999999995</v>
      </c>
      <c r="D54" s="27" t="s">
        <v>83</v>
      </c>
      <c r="E54" s="28"/>
      <c r="F54" s="34">
        <f t="shared" si="5"/>
        <v>0</v>
      </c>
      <c r="K54">
        <v>1</v>
      </c>
      <c r="L54">
        <f>1/0.075</f>
        <v>13.333333333333334</v>
      </c>
      <c r="M54">
        <f>L54*K53</f>
        <v>18.666666666666668</v>
      </c>
      <c r="S54">
        <v>0.6</v>
      </c>
      <c r="T54">
        <f>0.6/0.075</f>
        <v>8</v>
      </c>
      <c r="U54">
        <f>T54*S53</f>
        <v>11.2</v>
      </c>
    </row>
    <row r="55" spans="1:24" x14ac:dyDescent="0.25">
      <c r="A55" s="86"/>
      <c r="B55" s="36" t="s">
        <v>0</v>
      </c>
      <c r="C55" s="31"/>
      <c r="D55" s="27"/>
      <c r="E55" s="28"/>
      <c r="F55" s="34" t="str">
        <f t="shared" si="5"/>
        <v/>
      </c>
      <c r="K55">
        <f>550/200</f>
        <v>2.75</v>
      </c>
      <c r="L55">
        <f>K55*0.55</f>
        <v>1.5125000000000002</v>
      </c>
      <c r="N55">
        <f>L55+L56</f>
        <v>3.0250000000000004</v>
      </c>
      <c r="O55">
        <f>N55*12</f>
        <v>36.300000000000004</v>
      </c>
      <c r="P55">
        <f>(O55*100)/162</f>
        <v>22.407407407407412</v>
      </c>
      <c r="S55">
        <f>550/200</f>
        <v>2.75</v>
      </c>
      <c r="T55">
        <f>S55*0.55</f>
        <v>1.5125000000000002</v>
      </c>
      <c r="V55">
        <f>T55+T56</f>
        <v>3.0250000000000004</v>
      </c>
      <c r="W55">
        <f>V55*12</f>
        <v>36.300000000000004</v>
      </c>
      <c r="X55">
        <f>(W55*100)/162</f>
        <v>22.407407407407412</v>
      </c>
    </row>
    <row r="56" spans="1:24" x14ac:dyDescent="0.25">
      <c r="A56" s="60"/>
      <c r="B56" s="90" t="s">
        <v>234</v>
      </c>
      <c r="C56" s="31">
        <v>94.393420000000006</v>
      </c>
      <c r="D56" s="27" t="s">
        <v>157</v>
      </c>
      <c r="E56" s="28"/>
      <c r="F56" s="34">
        <f t="shared" si="5"/>
        <v>0</v>
      </c>
      <c r="K56">
        <f>550/200</f>
        <v>2.75</v>
      </c>
      <c r="L56">
        <f>K56*0.55</f>
        <v>1.5125000000000002</v>
      </c>
      <c r="S56">
        <f>550/200</f>
        <v>2.75</v>
      </c>
      <c r="T56">
        <f>S56*0.55</f>
        <v>1.5125000000000002</v>
      </c>
    </row>
    <row r="57" spans="1:24" ht="15.75" x14ac:dyDescent="0.25">
      <c r="A57" s="86"/>
      <c r="B57" s="36" t="s">
        <v>100</v>
      </c>
      <c r="C57" s="31">
        <v>5.75</v>
      </c>
      <c r="D57" s="27" t="s">
        <v>23</v>
      </c>
      <c r="E57" s="28"/>
      <c r="F57" s="34">
        <f t="shared" si="5"/>
        <v>0</v>
      </c>
      <c r="Q57">
        <f>O53+W53</f>
        <v>94.393415637860073</v>
      </c>
    </row>
    <row r="58" spans="1:24" x14ac:dyDescent="0.25">
      <c r="A58" s="60"/>
      <c r="B58" s="88" t="s">
        <v>1</v>
      </c>
      <c r="C58" s="27"/>
      <c r="D58" s="27"/>
      <c r="E58" s="28"/>
      <c r="F58" s="34" t="str">
        <f t="shared" si="5"/>
        <v/>
      </c>
    </row>
    <row r="59" spans="1:24" ht="43.5" customHeight="1" x14ac:dyDescent="0.25">
      <c r="A59" s="60"/>
      <c r="B59" s="2" t="s">
        <v>99</v>
      </c>
      <c r="C59" s="31">
        <f>((1+1+1.4+1.4)*0.3)+((0.6+0.6+0.3+0.3)*0.14)+((1.3+1.3+0.15+0.15)*1.4)</f>
        <v>5.7519999999999998</v>
      </c>
      <c r="D59" s="27" t="s">
        <v>23</v>
      </c>
      <c r="E59" s="28"/>
      <c r="F59" s="34">
        <f t="shared" si="5"/>
        <v>0</v>
      </c>
    </row>
    <row r="60" spans="1:24" x14ac:dyDescent="0.25">
      <c r="A60" s="60"/>
      <c r="B60" s="36"/>
      <c r="C60" s="33"/>
      <c r="D60" s="27"/>
      <c r="E60" s="28"/>
      <c r="F60" s="34" t="str">
        <f t="shared" si="3"/>
        <v/>
      </c>
    </row>
    <row r="61" spans="1:24" x14ac:dyDescent="0.25">
      <c r="A61" s="86"/>
      <c r="B61" s="14" t="s">
        <v>235</v>
      </c>
      <c r="C61" s="27"/>
      <c r="D61" s="27"/>
      <c r="E61" s="28"/>
      <c r="F61" s="34" t="str">
        <f t="shared" ref="F61:F67" si="6">IF(E61="",IF(C61="","",C61*E61),C61*E61)</f>
        <v/>
      </c>
      <c r="K61">
        <f>1.81+1.81+1.933</f>
        <v>5.5529999999999999</v>
      </c>
      <c r="L61">
        <f>K61*0.3*8</f>
        <v>13.327199999999999</v>
      </c>
      <c r="O61">
        <f>5553/150</f>
        <v>37.020000000000003</v>
      </c>
      <c r="P61">
        <f>K62*O61</f>
        <v>64.785000000000011</v>
      </c>
      <c r="Q61">
        <f>P61+P62</f>
        <v>129.57</v>
      </c>
      <c r="R61">
        <f>(Q61*(10*10))/162</f>
        <v>79.981481481481481</v>
      </c>
    </row>
    <row r="62" spans="1:24" ht="15.75" x14ac:dyDescent="0.25">
      <c r="A62" s="60"/>
      <c r="B62" s="2" t="s">
        <v>122</v>
      </c>
      <c r="C62" s="31">
        <v>13.327199999999999</v>
      </c>
      <c r="D62" s="27" t="s">
        <v>83</v>
      </c>
      <c r="E62" s="28"/>
      <c r="F62" s="34">
        <f t="shared" si="6"/>
        <v>0</v>
      </c>
      <c r="K62">
        <v>1.75</v>
      </c>
      <c r="O62">
        <f>1750/150</f>
        <v>11.666666666666666</v>
      </c>
      <c r="P62">
        <f>O62*K61</f>
        <v>64.784999999999997</v>
      </c>
    </row>
    <row r="63" spans="1:24" x14ac:dyDescent="0.25">
      <c r="A63" s="86"/>
      <c r="B63" s="36" t="s">
        <v>0</v>
      </c>
      <c r="C63" s="31"/>
      <c r="D63" s="27"/>
      <c r="E63" s="28"/>
      <c r="F63" s="34" t="str">
        <f t="shared" si="6"/>
        <v/>
      </c>
    </row>
    <row r="64" spans="1:24" x14ac:dyDescent="0.25">
      <c r="A64" s="60"/>
      <c r="B64" s="90" t="s">
        <v>127</v>
      </c>
      <c r="C64" s="31">
        <v>79.981480000000005</v>
      </c>
      <c r="D64" s="27" t="s">
        <v>157</v>
      </c>
      <c r="E64" s="28"/>
      <c r="F64" s="34">
        <f t="shared" si="6"/>
        <v>0</v>
      </c>
      <c r="K64">
        <f>K62*K61*2</f>
        <v>19.435500000000001</v>
      </c>
    </row>
    <row r="65" spans="1:27" ht="15.75" x14ac:dyDescent="0.25">
      <c r="A65" s="86"/>
      <c r="B65" s="36" t="s">
        <v>100</v>
      </c>
      <c r="C65" s="31">
        <v>19.433499999999999</v>
      </c>
      <c r="D65" s="27" t="s">
        <v>23</v>
      </c>
      <c r="E65" s="28"/>
      <c r="F65" s="34">
        <f t="shared" si="6"/>
        <v>0</v>
      </c>
    </row>
    <row r="66" spans="1:27" x14ac:dyDescent="0.25">
      <c r="A66" s="60"/>
      <c r="B66" s="88" t="s">
        <v>1</v>
      </c>
      <c r="C66" s="27"/>
      <c r="D66" s="27"/>
      <c r="E66" s="28"/>
      <c r="F66" s="34" t="str">
        <f t="shared" si="6"/>
        <v/>
      </c>
    </row>
    <row r="67" spans="1:27" ht="43.5" customHeight="1" x14ac:dyDescent="0.25">
      <c r="A67" s="60"/>
      <c r="B67" s="2" t="s">
        <v>99</v>
      </c>
      <c r="C67" s="31">
        <v>19.433499999999999</v>
      </c>
      <c r="D67" s="27" t="s">
        <v>23</v>
      </c>
      <c r="E67" s="28"/>
      <c r="F67" s="34">
        <f t="shared" si="6"/>
        <v>0</v>
      </c>
    </row>
    <row r="68" spans="1:27" x14ac:dyDescent="0.25">
      <c r="A68" s="60"/>
      <c r="B68" s="36"/>
      <c r="C68" s="33"/>
      <c r="D68" s="27"/>
      <c r="E68" s="28"/>
      <c r="F68" s="34" t="str">
        <f t="shared" si="3"/>
        <v/>
      </c>
    </row>
    <row r="69" spans="1:27" x14ac:dyDescent="0.25">
      <c r="A69" s="86"/>
      <c r="B69" s="14" t="s">
        <v>315</v>
      </c>
      <c r="C69" s="27"/>
      <c r="D69" s="27"/>
      <c r="E69" s="28"/>
      <c r="F69" s="34" t="str">
        <f t="shared" si="3"/>
        <v/>
      </c>
    </row>
    <row r="70" spans="1:27" ht="15.75" x14ac:dyDescent="0.25">
      <c r="A70" s="60"/>
      <c r="B70" s="2" t="s">
        <v>123</v>
      </c>
      <c r="C70" s="31">
        <f>M73</f>
        <v>15.118500000000001</v>
      </c>
      <c r="D70" s="27" t="s">
        <v>83</v>
      </c>
      <c r="E70" s="28"/>
      <c r="F70" s="34">
        <f t="shared" si="3"/>
        <v>0</v>
      </c>
    </row>
    <row r="71" spans="1:27" x14ac:dyDescent="0.25">
      <c r="A71" s="86"/>
      <c r="B71" s="36" t="s">
        <v>0</v>
      </c>
      <c r="C71" s="31"/>
      <c r="D71" s="27"/>
      <c r="E71" s="28"/>
      <c r="F71" s="34" t="str">
        <f t="shared" si="3"/>
        <v/>
      </c>
      <c r="Q71" t="s">
        <v>219</v>
      </c>
    </row>
    <row r="72" spans="1:27" x14ac:dyDescent="0.25">
      <c r="A72" s="60"/>
      <c r="B72" s="90" t="s">
        <v>125</v>
      </c>
      <c r="C72" s="31">
        <f>AA73</f>
        <v>636.09688888888888</v>
      </c>
      <c r="D72" s="27" t="s">
        <v>157</v>
      </c>
      <c r="E72" s="28"/>
      <c r="F72" s="34">
        <f t="shared" si="3"/>
        <v>0</v>
      </c>
      <c r="J72" t="s">
        <v>204</v>
      </c>
      <c r="K72" t="s">
        <v>27</v>
      </c>
      <c r="L72" t="s">
        <v>200</v>
      </c>
      <c r="M72" t="s">
        <v>218</v>
      </c>
      <c r="N72" t="s">
        <v>222</v>
      </c>
      <c r="Q72" t="s">
        <v>220</v>
      </c>
      <c r="R72" t="s">
        <v>10</v>
      </c>
      <c r="S72" t="s">
        <v>221</v>
      </c>
      <c r="T72" t="s">
        <v>205</v>
      </c>
      <c r="V72" s="224" t="s">
        <v>206</v>
      </c>
      <c r="W72" s="224" t="s">
        <v>207</v>
      </c>
      <c r="X72" s="224" t="s">
        <v>208</v>
      </c>
      <c r="Y72" s="224" t="s">
        <v>209</v>
      </c>
      <c r="Z72" s="224" t="s">
        <v>210</v>
      </c>
      <c r="AA72" s="224" t="s">
        <v>205</v>
      </c>
    </row>
    <row r="73" spans="1:27" x14ac:dyDescent="0.25">
      <c r="A73" s="60"/>
      <c r="B73" s="90" t="s">
        <v>236</v>
      </c>
      <c r="C73" s="31">
        <f>T73</f>
        <v>2297.2079772079778</v>
      </c>
      <c r="D73" s="27" t="s">
        <v>157</v>
      </c>
      <c r="E73" s="28"/>
      <c r="F73" s="34">
        <f t="shared" si="3"/>
        <v>0</v>
      </c>
      <c r="J73" s="236">
        <v>100.79</v>
      </c>
      <c r="K73" s="236">
        <v>0.5</v>
      </c>
      <c r="L73" s="236">
        <v>0.3</v>
      </c>
      <c r="M73" s="237">
        <f>L73*K73*J73</f>
        <v>15.118500000000001</v>
      </c>
      <c r="N73">
        <f>(K73+K73+L73)*J73</f>
        <v>131.02700000000002</v>
      </c>
      <c r="Q73" s="236">
        <v>20</v>
      </c>
      <c r="R73" s="236">
        <v>8</v>
      </c>
      <c r="S73">
        <f>((((J73/5.2)*(40*Q73))/1000)+J73)*R73</f>
        <v>930.36923076923085</v>
      </c>
      <c r="T73">
        <f>((S73*(Q73*Q73))/162)</f>
        <v>2297.2079772079778</v>
      </c>
      <c r="W73" s="223">
        <v>2</v>
      </c>
      <c r="X73" s="223">
        <v>0.1</v>
      </c>
      <c r="Y73">
        <f>(J73*W73)/X73</f>
        <v>2015.8</v>
      </c>
      <c r="Z73">
        <f>(((K73-0.045)+(L73-0.045))*2)*Y73</f>
        <v>2862.4359999999997</v>
      </c>
      <c r="AA73">
        <f>((6*6)*Z73)/162</f>
        <v>636.09688888888888</v>
      </c>
    </row>
    <row r="74" spans="1:27" x14ac:dyDescent="0.25">
      <c r="A74" s="60"/>
      <c r="B74" s="90" t="s">
        <v>98</v>
      </c>
      <c r="C74" s="31">
        <v>1</v>
      </c>
      <c r="D74" s="27" t="s">
        <v>124</v>
      </c>
      <c r="E74" s="28"/>
      <c r="F74" s="34">
        <f t="shared" si="3"/>
        <v>0</v>
      </c>
    </row>
    <row r="75" spans="1:27" x14ac:dyDescent="0.25">
      <c r="A75" s="60"/>
      <c r="B75" s="88" t="s">
        <v>1</v>
      </c>
      <c r="C75" s="27"/>
      <c r="D75" s="27"/>
      <c r="E75" s="28"/>
      <c r="F75" s="34" t="str">
        <f t="shared" si="3"/>
        <v/>
      </c>
    </row>
    <row r="76" spans="1:27" ht="43.5" customHeight="1" x14ac:dyDescent="0.25">
      <c r="A76" s="60"/>
      <c r="B76" s="2" t="s">
        <v>99</v>
      </c>
      <c r="C76" s="31">
        <f>N73</f>
        <v>131.02700000000002</v>
      </c>
      <c r="D76" s="27" t="s">
        <v>23</v>
      </c>
      <c r="E76" s="28"/>
      <c r="F76" s="34">
        <f t="shared" si="3"/>
        <v>0</v>
      </c>
    </row>
    <row r="77" spans="1:27" x14ac:dyDescent="0.25">
      <c r="A77" s="60"/>
      <c r="B77" s="36"/>
      <c r="C77" s="33"/>
      <c r="D77" s="27"/>
      <c r="E77" s="28"/>
      <c r="F77" s="34" t="str">
        <f>IF(E77="",IF(C77="","",C77*E77),C77*E77)</f>
        <v/>
      </c>
      <c r="J77">
        <v>412.29</v>
      </c>
      <c r="K77">
        <f>J77*0.1</f>
        <v>41.229000000000006</v>
      </c>
    </row>
    <row r="78" spans="1:27" x14ac:dyDescent="0.25">
      <c r="A78" s="156"/>
      <c r="B78" s="157"/>
      <c r="C78" s="158"/>
      <c r="D78" s="152"/>
      <c r="E78" s="153"/>
      <c r="F78" s="154"/>
      <c r="J78">
        <f>J77/30</f>
        <v>13.743</v>
      </c>
    </row>
    <row r="79" spans="1:27" ht="15.75" thickBot="1" x14ac:dyDescent="0.3">
      <c r="A79" s="199">
        <v>3.3</v>
      </c>
      <c r="B79" s="260" t="s">
        <v>126</v>
      </c>
      <c r="C79" s="261"/>
      <c r="D79" s="261"/>
      <c r="E79" s="261"/>
      <c r="F79" s="155">
        <f>SUM(F80:F165)</f>
        <v>0</v>
      </c>
    </row>
    <row r="80" spans="1:27" ht="15.75" thickTop="1" x14ac:dyDescent="0.25">
      <c r="A80" s="60"/>
      <c r="B80" s="2"/>
      <c r="C80" s="31"/>
      <c r="D80" s="27"/>
      <c r="E80" s="28"/>
      <c r="F80" s="34"/>
    </row>
    <row r="81" spans="1:25" x14ac:dyDescent="0.25">
      <c r="A81" s="86"/>
      <c r="B81" s="14" t="s">
        <v>232</v>
      </c>
      <c r="C81" s="27"/>
      <c r="D81" s="27"/>
      <c r="E81" s="17"/>
      <c r="F81" s="34" t="str">
        <f t="shared" ref="F81:F282" si="7">IF(E81="",IF(C81="","",C81*E81),C81*E81)</f>
        <v/>
      </c>
      <c r="J81">
        <f>30000/200</f>
        <v>150</v>
      </c>
      <c r="K81">
        <f>J81*13.743</f>
        <v>2061.4500000000003</v>
      </c>
      <c r="L81">
        <f>J82*((13.743/5.2)*(40*0.01))</f>
        <v>72.642326538461546</v>
      </c>
      <c r="M81">
        <f>K81+K82+L81+L82</f>
        <v>4541.6961726923091</v>
      </c>
      <c r="N81">
        <f>M81*1</f>
        <v>4541.6961726923091</v>
      </c>
      <c r="O81">
        <f>(N81*(10*10))/162</f>
        <v>2803.5161559829066</v>
      </c>
    </row>
    <row r="82" spans="1:25" ht="15.75" x14ac:dyDescent="0.25">
      <c r="A82" s="60"/>
      <c r="B82" s="2" t="s">
        <v>122</v>
      </c>
      <c r="C82" s="31">
        <v>41.228999999999999</v>
      </c>
      <c r="D82" s="27" t="s">
        <v>83</v>
      </c>
      <c r="E82" s="17"/>
      <c r="F82" s="34">
        <f t="shared" si="7"/>
        <v>0</v>
      </c>
      <c r="J82">
        <f>13743/200</f>
        <v>68.715000000000003</v>
      </c>
      <c r="K82">
        <f>J82*30</f>
        <v>2061.4500000000003</v>
      </c>
      <c r="L82">
        <f>J81*((30/5.2)*(40*0.01))</f>
        <v>346.15384615384619</v>
      </c>
    </row>
    <row r="83" spans="1:25" x14ac:dyDescent="0.25">
      <c r="A83" s="86"/>
      <c r="B83" s="36" t="s">
        <v>0</v>
      </c>
      <c r="C83" s="31"/>
      <c r="D83" s="27"/>
      <c r="E83" s="17"/>
      <c r="F83" s="34" t="str">
        <f t="shared" si="7"/>
        <v/>
      </c>
    </row>
    <row r="84" spans="1:25" x14ac:dyDescent="0.25">
      <c r="A84" s="60"/>
      <c r="B84" s="90" t="s">
        <v>255</v>
      </c>
      <c r="C84" s="31">
        <v>2803.5160000000001</v>
      </c>
      <c r="D84" s="27" t="s">
        <v>157</v>
      </c>
      <c r="E84" s="17"/>
      <c r="F84" s="34">
        <f t="shared" si="7"/>
        <v>0</v>
      </c>
    </row>
    <row r="85" spans="1:25" ht="15.75" x14ac:dyDescent="0.25">
      <c r="A85" s="60"/>
      <c r="B85" s="90" t="s">
        <v>154</v>
      </c>
      <c r="C85" s="31">
        <v>412.29</v>
      </c>
      <c r="D85" s="27" t="s">
        <v>23</v>
      </c>
      <c r="E85" s="17"/>
      <c r="F85" s="34">
        <f t="shared" si="7"/>
        <v>0</v>
      </c>
    </row>
    <row r="86" spans="1:25" x14ac:dyDescent="0.25">
      <c r="A86" s="60"/>
      <c r="B86" s="90"/>
      <c r="C86" s="31"/>
      <c r="D86" s="27"/>
      <c r="E86" s="17"/>
      <c r="F86" s="34" t="str">
        <f t="shared" si="7"/>
        <v/>
      </c>
    </row>
    <row r="87" spans="1:25" x14ac:dyDescent="0.25">
      <c r="A87" s="86"/>
      <c r="B87" s="227" t="str">
        <f>CONCATENATE("Column ",H89)</f>
        <v>Column C1</v>
      </c>
      <c r="C87" s="31"/>
      <c r="D87" s="27"/>
      <c r="E87" s="17"/>
      <c r="F87" s="34" t="str">
        <f t="shared" si="7"/>
        <v/>
      </c>
      <c r="H87" s="12"/>
      <c r="I87" t="s">
        <v>122</v>
      </c>
      <c r="P87" t="s">
        <v>198</v>
      </c>
    </row>
    <row r="88" spans="1:25" ht="15.75" x14ac:dyDescent="0.25">
      <c r="A88" s="60"/>
      <c r="B88" s="2" t="s">
        <v>123</v>
      </c>
      <c r="C88" s="31">
        <f>+N89</f>
        <v>9.0782880000000006</v>
      </c>
      <c r="D88" s="27" t="s">
        <v>83</v>
      </c>
      <c r="E88" s="28"/>
      <c r="F88" s="34">
        <f t="shared" si="7"/>
        <v>0</v>
      </c>
      <c r="H88" s="12"/>
      <c r="I88" s="12" t="s">
        <v>10</v>
      </c>
      <c r="J88" s="12" t="s">
        <v>199</v>
      </c>
      <c r="K88" s="12" t="s">
        <v>200</v>
      </c>
      <c r="L88" s="12" t="s">
        <v>27</v>
      </c>
      <c r="M88" s="12" t="s">
        <v>21</v>
      </c>
      <c r="N88" s="12" t="s">
        <v>201</v>
      </c>
      <c r="O88" t="s">
        <v>202</v>
      </c>
      <c r="P88" t="s">
        <v>203</v>
      </c>
      <c r="Q88" s="223" t="s">
        <v>10</v>
      </c>
      <c r="R88" s="224" t="s">
        <v>204</v>
      </c>
      <c r="S88" s="224" t="s">
        <v>205</v>
      </c>
      <c r="T88" s="224" t="s">
        <v>206</v>
      </c>
      <c r="U88" s="224" t="s">
        <v>207</v>
      </c>
      <c r="V88" s="224" t="s">
        <v>208</v>
      </c>
      <c r="W88" s="224" t="s">
        <v>209</v>
      </c>
      <c r="X88" s="224" t="s">
        <v>210</v>
      </c>
      <c r="Y88" s="224" t="s">
        <v>205</v>
      </c>
    </row>
    <row r="89" spans="1:25" x14ac:dyDescent="0.25">
      <c r="A89" s="86"/>
      <c r="B89" s="36" t="s">
        <v>0</v>
      </c>
      <c r="C89" s="31"/>
      <c r="D89" s="27"/>
      <c r="E89" s="28"/>
      <c r="F89" s="34" t="str">
        <f t="shared" si="7"/>
        <v/>
      </c>
      <c r="H89" s="12" t="s">
        <v>211</v>
      </c>
      <c r="I89" s="223">
        <v>4</v>
      </c>
      <c r="J89" s="223">
        <v>6.101</v>
      </c>
      <c r="K89" s="223"/>
      <c r="L89" s="223"/>
      <c r="M89">
        <v>0.372</v>
      </c>
      <c r="N89">
        <f>M89*J89*I89</f>
        <v>9.0782880000000006</v>
      </c>
      <c r="O89">
        <f>3.191*J89*I89</f>
        <v>77.873164000000003</v>
      </c>
      <c r="P89" s="223">
        <v>16</v>
      </c>
      <c r="Q89" s="223">
        <v>12</v>
      </c>
      <c r="R89">
        <f>(J89+0.2)*Q89*I89</f>
        <v>302.44799999999998</v>
      </c>
      <c r="S89">
        <f>(R89*(P89*P89))/162</f>
        <v>477.94251851851851</v>
      </c>
      <c r="U89" s="223">
        <v>3</v>
      </c>
      <c r="V89" s="223">
        <v>0.15</v>
      </c>
      <c r="W89">
        <f>(J89*I89*U89)/V89</f>
        <v>488.08000000000004</v>
      </c>
      <c r="X89">
        <f>1.533*2*W89</f>
        <v>1496.4532799999999</v>
      </c>
      <c r="Y89">
        <f>((6*6)*X89)/162</f>
        <v>332.54517333333331</v>
      </c>
    </row>
    <row r="90" spans="1:25" x14ac:dyDescent="0.25">
      <c r="A90" s="60"/>
      <c r="B90" s="90" t="s">
        <v>125</v>
      </c>
      <c r="C90" s="31">
        <f>+Y89</f>
        <v>332.54517333333331</v>
      </c>
      <c r="D90" s="27" t="s">
        <v>212</v>
      </c>
      <c r="E90" s="28"/>
      <c r="F90" s="34">
        <f t="shared" si="7"/>
        <v>0</v>
      </c>
      <c r="H90" s="12" t="s">
        <v>211</v>
      </c>
      <c r="I90" s="223"/>
      <c r="J90" s="223">
        <v>3.85</v>
      </c>
      <c r="K90" s="223">
        <v>0.2</v>
      </c>
      <c r="L90" s="223">
        <v>0.2</v>
      </c>
      <c r="M90">
        <f>L90*K90</f>
        <v>4.0000000000000008E-2</v>
      </c>
      <c r="N90">
        <f>M90*J90*I90</f>
        <v>0</v>
      </c>
      <c r="O90">
        <f>(((J90*K90)+(J90*L90))*2)*I90</f>
        <v>0</v>
      </c>
      <c r="P90" s="223">
        <v>12</v>
      </c>
      <c r="Q90" s="223">
        <v>4</v>
      </c>
      <c r="R90">
        <f>(J90+0.2)*Q90*I90</f>
        <v>0</v>
      </c>
      <c r="S90">
        <f>(R90*(P90*P90))/162</f>
        <v>0</v>
      </c>
      <c r="U90" s="223">
        <v>1</v>
      </c>
      <c r="V90" s="223">
        <v>0.15</v>
      </c>
      <c r="W90">
        <f>(J90*I90*U90)/V90</f>
        <v>0</v>
      </c>
      <c r="X90">
        <f>(((K90-0.045)+(L90-0.045))*2)*W90</f>
        <v>0</v>
      </c>
      <c r="Y90">
        <f>((6*6)*X90)/162</f>
        <v>0</v>
      </c>
    </row>
    <row r="91" spans="1:25" x14ac:dyDescent="0.25">
      <c r="A91" s="60"/>
      <c r="B91" s="90" t="str">
        <f>CONCATENATE("Steel deformed bars, ",P89," mm dia")</f>
        <v>Steel deformed bars, 16 mm dia</v>
      </c>
      <c r="C91" s="31">
        <f>+S89</f>
        <v>477.94251851851851</v>
      </c>
      <c r="D91" s="27" t="s">
        <v>212</v>
      </c>
      <c r="E91" s="28"/>
      <c r="F91" s="34">
        <f t="shared" si="7"/>
        <v>0</v>
      </c>
    </row>
    <row r="92" spans="1:25" x14ac:dyDescent="0.25">
      <c r="A92" s="60"/>
      <c r="B92" s="90" t="str">
        <f>IF(I90="","",CONCATENATE("Steel deformed bars, ",P90," mm dia"))</f>
        <v/>
      </c>
      <c r="C92" s="31" t="str">
        <f>IF(I90="","",S90)</f>
        <v/>
      </c>
      <c r="D92" s="27" t="str">
        <f>IF(I90="","","kg")</f>
        <v/>
      </c>
      <c r="E92" s="28"/>
      <c r="F92" s="34" t="str">
        <f t="shared" si="7"/>
        <v/>
      </c>
    </row>
    <row r="93" spans="1:25" x14ac:dyDescent="0.25">
      <c r="A93" s="60"/>
      <c r="B93" s="90" t="s">
        <v>98</v>
      </c>
      <c r="C93" s="31">
        <v>1</v>
      </c>
      <c r="D93" s="27" t="s">
        <v>124</v>
      </c>
      <c r="E93" s="28"/>
      <c r="F93" s="34">
        <f t="shared" si="7"/>
        <v>0</v>
      </c>
    </row>
    <row r="94" spans="1:25" x14ac:dyDescent="0.25">
      <c r="A94" s="60"/>
      <c r="B94" s="90"/>
      <c r="C94" s="31"/>
      <c r="D94" s="27"/>
      <c r="E94" s="28"/>
      <c r="F94" s="34" t="str">
        <f t="shared" si="7"/>
        <v/>
      </c>
    </row>
    <row r="95" spans="1:25" x14ac:dyDescent="0.25">
      <c r="A95" s="60"/>
      <c r="B95" s="88" t="s">
        <v>1</v>
      </c>
      <c r="C95" s="31"/>
      <c r="D95" s="27"/>
      <c r="E95" s="28"/>
      <c r="F95" s="34" t="str">
        <f t="shared" si="7"/>
        <v/>
      </c>
    </row>
    <row r="96" spans="1:25" ht="38.25" x14ac:dyDescent="0.25">
      <c r="A96" s="60"/>
      <c r="B96" s="2" t="s">
        <v>99</v>
      </c>
      <c r="C96" s="225">
        <f>+O89</f>
        <v>77.873164000000003</v>
      </c>
      <c r="D96" s="226" t="s">
        <v>23</v>
      </c>
      <c r="E96" s="28"/>
      <c r="F96" s="34">
        <f t="shared" si="7"/>
        <v>0</v>
      </c>
    </row>
    <row r="97" spans="1:25" x14ac:dyDescent="0.25">
      <c r="A97" s="60"/>
      <c r="B97" s="90"/>
      <c r="C97" s="31"/>
      <c r="D97" s="27"/>
      <c r="E97" s="17"/>
      <c r="F97" s="34" t="str">
        <f t="shared" ref="F97:F107" si="8">IF(E97="",IF(C97="","",C97*E97),C97*E97)</f>
        <v/>
      </c>
    </row>
    <row r="98" spans="1:25" x14ac:dyDescent="0.25">
      <c r="A98" s="86"/>
      <c r="B98" s="227" t="str">
        <f>CONCATENATE("Column ",H100)</f>
        <v>Column C1a</v>
      </c>
      <c r="C98" s="31"/>
      <c r="D98" s="27"/>
      <c r="E98" s="17"/>
      <c r="F98" s="34" t="str">
        <f t="shared" si="8"/>
        <v/>
      </c>
      <c r="H98" s="12"/>
      <c r="I98" t="s">
        <v>122</v>
      </c>
      <c r="P98" t="s">
        <v>198</v>
      </c>
    </row>
    <row r="99" spans="1:25" ht="15.75" x14ac:dyDescent="0.25">
      <c r="A99" s="60"/>
      <c r="B99" s="2" t="s">
        <v>123</v>
      </c>
      <c r="C99" s="31">
        <f>+N100</f>
        <v>9.0782880000000006</v>
      </c>
      <c r="D99" s="27" t="s">
        <v>83</v>
      </c>
      <c r="E99" s="28"/>
      <c r="F99" s="34">
        <f t="shared" si="8"/>
        <v>0</v>
      </c>
      <c r="H99" s="12"/>
      <c r="I99" s="12" t="s">
        <v>10</v>
      </c>
      <c r="J99" s="12" t="s">
        <v>199</v>
      </c>
      <c r="K99" s="12" t="s">
        <v>200</v>
      </c>
      <c r="L99" s="12" t="s">
        <v>27</v>
      </c>
      <c r="M99" s="12" t="s">
        <v>21</v>
      </c>
      <c r="N99" s="12" t="s">
        <v>201</v>
      </c>
      <c r="O99" t="s">
        <v>202</v>
      </c>
      <c r="P99" t="s">
        <v>203</v>
      </c>
      <c r="Q99" s="223" t="s">
        <v>10</v>
      </c>
      <c r="R99" s="224" t="s">
        <v>204</v>
      </c>
      <c r="S99" s="224" t="s">
        <v>205</v>
      </c>
      <c r="T99" s="224" t="s">
        <v>242</v>
      </c>
      <c r="U99" s="224" t="s">
        <v>207</v>
      </c>
      <c r="V99" s="224" t="s">
        <v>208</v>
      </c>
      <c r="W99" s="224" t="s">
        <v>209</v>
      </c>
      <c r="X99" s="224" t="s">
        <v>210</v>
      </c>
      <c r="Y99" s="224" t="s">
        <v>205</v>
      </c>
    </row>
    <row r="100" spans="1:25" x14ac:dyDescent="0.25">
      <c r="A100" s="86"/>
      <c r="B100" s="36" t="s">
        <v>0</v>
      </c>
      <c r="C100" s="31"/>
      <c r="D100" s="27"/>
      <c r="E100" s="28"/>
      <c r="F100" s="34" t="str">
        <f t="shared" si="8"/>
        <v/>
      </c>
      <c r="H100" s="12" t="s">
        <v>241</v>
      </c>
      <c r="I100" s="223">
        <v>4</v>
      </c>
      <c r="J100" s="223">
        <v>6.101</v>
      </c>
      <c r="K100" s="223"/>
      <c r="L100" s="223"/>
      <c r="M100">
        <v>0.372</v>
      </c>
      <c r="N100">
        <f>M100*J100*I100</f>
        <v>9.0782880000000006</v>
      </c>
      <c r="O100">
        <f>3.191*J100*I100</f>
        <v>77.873164000000003</v>
      </c>
      <c r="P100" s="223">
        <v>20</v>
      </c>
      <c r="Q100" s="223">
        <v>12</v>
      </c>
      <c r="R100">
        <f>(J100+0.2)*Q100*I100</f>
        <v>302.44799999999998</v>
      </c>
      <c r="S100">
        <f>(R100*(P100*P100))/162</f>
        <v>746.78518518518513</v>
      </c>
      <c r="U100" s="223">
        <v>3</v>
      </c>
      <c r="V100" s="223">
        <v>0.15</v>
      </c>
      <c r="W100">
        <f>(J100*I100*U100)/V100</f>
        <v>488.08000000000004</v>
      </c>
      <c r="X100">
        <f>1.533*2*W100</f>
        <v>1496.4532799999999</v>
      </c>
      <c r="Y100">
        <f>((8*8)*X100)/162</f>
        <v>591.19141925925919</v>
      </c>
    </row>
    <row r="101" spans="1:25" x14ac:dyDescent="0.25">
      <c r="A101" s="60"/>
      <c r="B101" s="90" t="s">
        <v>243</v>
      </c>
      <c r="C101" s="31">
        <f>+Y100</f>
        <v>591.19141925925919</v>
      </c>
      <c r="D101" s="27" t="s">
        <v>212</v>
      </c>
      <c r="E101" s="28"/>
      <c r="F101" s="34">
        <f t="shared" si="8"/>
        <v>0</v>
      </c>
      <c r="H101" s="12" t="s">
        <v>211</v>
      </c>
      <c r="I101" s="223"/>
      <c r="J101" s="223">
        <v>3.85</v>
      </c>
      <c r="K101" s="223">
        <v>0.2</v>
      </c>
      <c r="L101" s="223">
        <v>0.2</v>
      </c>
      <c r="M101">
        <f>L101*K101</f>
        <v>4.0000000000000008E-2</v>
      </c>
      <c r="N101">
        <f>M101*J101*I101</f>
        <v>0</v>
      </c>
      <c r="O101">
        <f>(((J101*K101)+(J101*L101))*2)*I101</f>
        <v>0</v>
      </c>
      <c r="P101" s="223">
        <v>20</v>
      </c>
      <c r="Q101" s="223">
        <v>4</v>
      </c>
      <c r="R101">
        <f>(J101+0.2)*Q101*I101</f>
        <v>0</v>
      </c>
      <c r="S101">
        <f>(R101*(P101*P101))/162</f>
        <v>0</v>
      </c>
      <c r="U101" s="223">
        <v>1</v>
      </c>
      <c r="V101" s="223">
        <v>0.15</v>
      </c>
      <c r="W101">
        <f>(J101*I101*U101)/V101</f>
        <v>0</v>
      </c>
      <c r="X101">
        <f>(((K101-0.045)+(L101-0.045))*2)*W101</f>
        <v>0</v>
      </c>
      <c r="Y101">
        <f>((6*6)*X101)/162</f>
        <v>0</v>
      </c>
    </row>
    <row r="102" spans="1:25" x14ac:dyDescent="0.25">
      <c r="A102" s="60"/>
      <c r="B102" s="90" t="str">
        <f>CONCATENATE("Steel deformed bars, ",P100," mm dia")</f>
        <v>Steel deformed bars, 20 mm dia</v>
      </c>
      <c r="C102" s="31">
        <f>+S100</f>
        <v>746.78518518518513</v>
      </c>
      <c r="D102" s="27" t="s">
        <v>212</v>
      </c>
      <c r="E102" s="28"/>
      <c r="F102" s="34">
        <f t="shared" si="8"/>
        <v>0</v>
      </c>
    </row>
    <row r="103" spans="1:25" x14ac:dyDescent="0.25">
      <c r="A103" s="60"/>
      <c r="B103" s="90" t="str">
        <f>IF(I101="","",CONCATENATE("Steel deformed bars, ",P101," mm dia"))</f>
        <v/>
      </c>
      <c r="C103" s="31" t="str">
        <f>IF(I101="","",S101)</f>
        <v/>
      </c>
      <c r="D103" s="27" t="str">
        <f>IF(I101="","","kg")</f>
        <v/>
      </c>
      <c r="E103" s="28"/>
      <c r="F103" s="34" t="str">
        <f t="shared" si="8"/>
        <v/>
      </c>
    </row>
    <row r="104" spans="1:25" x14ac:dyDescent="0.25">
      <c r="A104" s="60"/>
      <c r="B104" s="90" t="s">
        <v>98</v>
      </c>
      <c r="C104" s="31">
        <v>1</v>
      </c>
      <c r="D104" s="27" t="s">
        <v>124</v>
      </c>
      <c r="E104" s="28"/>
      <c r="F104" s="34">
        <f t="shared" si="8"/>
        <v>0</v>
      </c>
    </row>
    <row r="105" spans="1:25" x14ac:dyDescent="0.25">
      <c r="A105" s="60"/>
      <c r="B105" s="90"/>
      <c r="C105" s="31"/>
      <c r="D105" s="27"/>
      <c r="E105" s="28"/>
      <c r="F105" s="34" t="str">
        <f t="shared" si="8"/>
        <v/>
      </c>
    </row>
    <row r="106" spans="1:25" x14ac:dyDescent="0.25">
      <c r="A106" s="60"/>
      <c r="B106" s="88" t="s">
        <v>1</v>
      </c>
      <c r="C106" s="31"/>
      <c r="D106" s="27"/>
      <c r="E106" s="28"/>
      <c r="F106" s="34" t="str">
        <f t="shared" si="8"/>
        <v/>
      </c>
    </row>
    <row r="107" spans="1:25" ht="38.25" x14ac:dyDescent="0.25">
      <c r="A107" s="60"/>
      <c r="B107" s="2" t="s">
        <v>99</v>
      </c>
      <c r="C107" s="225">
        <f>+O100</f>
        <v>77.873164000000003</v>
      </c>
      <c r="D107" s="226" t="s">
        <v>23</v>
      </c>
      <c r="E107" s="28"/>
      <c r="F107" s="34">
        <f t="shared" si="8"/>
        <v>0</v>
      </c>
    </row>
    <row r="108" spans="1:25" x14ac:dyDescent="0.25">
      <c r="A108" s="60"/>
      <c r="B108" s="90"/>
      <c r="C108" s="31"/>
      <c r="D108" s="27"/>
      <c r="E108" s="17"/>
      <c r="F108" s="34" t="str">
        <f t="shared" ref="F108:F118" si="9">IF(E108="",IF(C108="","",C108*E108),C108*E108)</f>
        <v/>
      </c>
    </row>
    <row r="109" spans="1:25" x14ac:dyDescent="0.25">
      <c r="A109" s="86"/>
      <c r="B109" s="227" t="str">
        <f>CONCATENATE("Column ",H111)</f>
        <v>Column C2</v>
      </c>
      <c r="C109" s="31"/>
      <c r="D109" s="27"/>
      <c r="E109" s="17"/>
      <c r="F109" s="34" t="str">
        <f t="shared" si="9"/>
        <v/>
      </c>
      <c r="H109" s="12"/>
      <c r="I109" t="s">
        <v>122</v>
      </c>
      <c r="P109" t="s">
        <v>198</v>
      </c>
    </row>
    <row r="110" spans="1:25" ht="15.75" x14ac:dyDescent="0.25">
      <c r="A110" s="60"/>
      <c r="B110" s="2" t="s">
        <v>123</v>
      </c>
      <c r="C110" s="31">
        <f>+N111</f>
        <v>2.4404000000000003</v>
      </c>
      <c r="D110" s="27" t="s">
        <v>83</v>
      </c>
      <c r="E110" s="28"/>
      <c r="F110" s="34">
        <f t="shared" si="9"/>
        <v>0</v>
      </c>
      <c r="H110" s="12"/>
      <c r="I110" s="12" t="s">
        <v>10</v>
      </c>
      <c r="J110" s="12" t="s">
        <v>199</v>
      </c>
      <c r="K110" s="12" t="s">
        <v>200</v>
      </c>
      <c r="L110" s="12" t="s">
        <v>27</v>
      </c>
      <c r="M110" s="12" t="s">
        <v>21</v>
      </c>
      <c r="N110" s="12" t="s">
        <v>201</v>
      </c>
      <c r="O110" t="s">
        <v>202</v>
      </c>
      <c r="P110" t="s">
        <v>203</v>
      </c>
      <c r="Q110" s="223" t="s">
        <v>10</v>
      </c>
      <c r="R110" s="224" t="s">
        <v>204</v>
      </c>
      <c r="S110" s="224" t="s">
        <v>205</v>
      </c>
      <c r="T110" s="224" t="s">
        <v>206</v>
      </c>
      <c r="U110" s="224" t="s">
        <v>207</v>
      </c>
      <c r="V110" s="224" t="s">
        <v>208</v>
      </c>
      <c r="W110" s="224" t="s">
        <v>209</v>
      </c>
      <c r="X110" s="224" t="s">
        <v>210</v>
      </c>
      <c r="Y110" s="224" t="s">
        <v>205</v>
      </c>
    </row>
    <row r="111" spans="1:25" x14ac:dyDescent="0.25">
      <c r="A111" s="86"/>
      <c r="B111" s="36" t="s">
        <v>0</v>
      </c>
      <c r="C111" s="31"/>
      <c r="D111" s="27"/>
      <c r="E111" s="28"/>
      <c r="F111" s="34" t="str">
        <f t="shared" si="9"/>
        <v/>
      </c>
      <c r="H111" s="12" t="s">
        <v>239</v>
      </c>
      <c r="I111" s="223">
        <v>4</v>
      </c>
      <c r="J111" s="223">
        <v>6.101</v>
      </c>
      <c r="K111" s="223"/>
      <c r="L111" s="223"/>
      <c r="M111">
        <v>0.1</v>
      </c>
      <c r="N111">
        <f>M111*J111*I111</f>
        <v>2.4404000000000003</v>
      </c>
      <c r="O111">
        <f>1.231*J111*I111</f>
        <v>30.041324000000003</v>
      </c>
      <c r="P111" s="223">
        <v>16</v>
      </c>
      <c r="Q111" s="223">
        <v>4</v>
      </c>
      <c r="R111">
        <f>(J111+0.2)*Q111*I111</f>
        <v>100.816</v>
      </c>
      <c r="S111">
        <f>(R111*(P111*P111))/162</f>
        <v>159.31417283950617</v>
      </c>
      <c r="U111" s="223">
        <v>1</v>
      </c>
      <c r="V111" s="223">
        <v>0.15</v>
      </c>
      <c r="W111">
        <f>(J111*I111*U111)/V111</f>
        <v>162.69333333333333</v>
      </c>
      <c r="X111">
        <f>0.898*W111</f>
        <v>146.09861333333333</v>
      </c>
      <c r="Y111">
        <f>((6*6)*X111)/162</f>
        <v>32.466358518518518</v>
      </c>
    </row>
    <row r="112" spans="1:25" x14ac:dyDescent="0.25">
      <c r="A112" s="60"/>
      <c r="B112" s="90" t="s">
        <v>125</v>
      </c>
      <c r="C112" s="31">
        <f>+Y111</f>
        <v>32.466358518518518</v>
      </c>
      <c r="D112" s="27" t="s">
        <v>212</v>
      </c>
      <c r="E112" s="28"/>
      <c r="F112" s="34">
        <f t="shared" si="9"/>
        <v>0</v>
      </c>
      <c r="H112" s="12" t="s">
        <v>211</v>
      </c>
      <c r="I112" s="223"/>
      <c r="J112" s="223">
        <v>3.85</v>
      </c>
      <c r="K112" s="223">
        <v>0.2</v>
      </c>
      <c r="L112" s="223">
        <v>0.2</v>
      </c>
      <c r="M112">
        <f>L112*K112</f>
        <v>4.0000000000000008E-2</v>
      </c>
      <c r="N112">
        <f>M112*J112*I112</f>
        <v>0</v>
      </c>
      <c r="O112">
        <f>(((J112*K112)+(J112*L112))*2)*I112</f>
        <v>0</v>
      </c>
      <c r="P112" s="223">
        <v>12</v>
      </c>
      <c r="Q112" s="223">
        <v>4</v>
      </c>
      <c r="R112">
        <f>(J112+0.2)*Q112*I112</f>
        <v>0</v>
      </c>
      <c r="S112">
        <f>(R112*(P112*P112))/162</f>
        <v>0</v>
      </c>
      <c r="U112" s="223">
        <v>1</v>
      </c>
      <c r="V112" s="223">
        <v>0.15</v>
      </c>
      <c r="W112">
        <f>(J112*I112*U112)/V112</f>
        <v>0</v>
      </c>
      <c r="X112">
        <f>(((K112-0.045)+(L112-0.045))*2)*W112</f>
        <v>0</v>
      </c>
      <c r="Y112">
        <f>((6*6)*X112)/162</f>
        <v>0</v>
      </c>
    </row>
    <row r="113" spans="1:25" x14ac:dyDescent="0.25">
      <c r="A113" s="60"/>
      <c r="B113" s="90" t="str">
        <f>CONCATENATE("Steel deformed bars, ",P111," mm dia")</f>
        <v>Steel deformed bars, 16 mm dia</v>
      </c>
      <c r="C113" s="31">
        <f>+S111</f>
        <v>159.31417283950617</v>
      </c>
      <c r="D113" s="27" t="s">
        <v>212</v>
      </c>
      <c r="E113" s="28"/>
      <c r="F113" s="34">
        <f t="shared" si="9"/>
        <v>0</v>
      </c>
    </row>
    <row r="114" spans="1:25" x14ac:dyDescent="0.25">
      <c r="A114" s="60"/>
      <c r="B114" s="90" t="str">
        <f>IF(I112="","",CONCATENATE("Steel deformed bars, ",P112," mm dia"))</f>
        <v/>
      </c>
      <c r="C114" s="31" t="str">
        <f>IF(I112="","",S112)</f>
        <v/>
      </c>
      <c r="D114" s="27" t="str">
        <f>IF(I112="","","kg")</f>
        <v/>
      </c>
      <c r="E114" s="28"/>
      <c r="F114" s="34" t="str">
        <f t="shared" si="9"/>
        <v/>
      </c>
    </row>
    <row r="115" spans="1:25" x14ac:dyDescent="0.25">
      <c r="A115" s="60"/>
      <c r="B115" s="90" t="s">
        <v>98</v>
      </c>
      <c r="C115" s="31">
        <v>1</v>
      </c>
      <c r="D115" s="27" t="s">
        <v>124</v>
      </c>
      <c r="E115" s="28"/>
      <c r="F115" s="34">
        <f t="shared" si="9"/>
        <v>0</v>
      </c>
    </row>
    <row r="116" spans="1:25" x14ac:dyDescent="0.25">
      <c r="A116" s="60"/>
      <c r="B116" s="90"/>
      <c r="C116" s="31"/>
      <c r="D116" s="27"/>
      <c r="E116" s="28"/>
      <c r="F116" s="34" t="str">
        <f t="shared" si="9"/>
        <v/>
      </c>
    </row>
    <row r="117" spans="1:25" x14ac:dyDescent="0.25">
      <c r="A117" s="60"/>
      <c r="B117" s="88" t="s">
        <v>1</v>
      </c>
      <c r="C117" s="31"/>
      <c r="D117" s="27"/>
      <c r="E117" s="28"/>
      <c r="F117" s="34" t="str">
        <f t="shared" si="9"/>
        <v/>
      </c>
    </row>
    <row r="118" spans="1:25" ht="38.25" x14ac:dyDescent="0.25">
      <c r="A118" s="60"/>
      <c r="B118" s="2" t="s">
        <v>99</v>
      </c>
      <c r="C118" s="225">
        <f>+O111</f>
        <v>30.041324000000003</v>
      </c>
      <c r="D118" s="226" t="s">
        <v>23</v>
      </c>
      <c r="E118" s="28"/>
      <c r="F118" s="34">
        <f t="shared" si="9"/>
        <v>0</v>
      </c>
    </row>
    <row r="119" spans="1:25" x14ac:dyDescent="0.25">
      <c r="A119" s="60"/>
      <c r="B119" s="90"/>
      <c r="C119" s="31"/>
      <c r="D119" s="27"/>
      <c r="E119" s="17"/>
      <c r="F119" s="34" t="str">
        <f t="shared" ref="F119:F129" si="10">IF(E119="",IF(C119="","",C119*E119),C119*E119)</f>
        <v/>
      </c>
    </row>
    <row r="120" spans="1:25" x14ac:dyDescent="0.25">
      <c r="A120" s="86"/>
      <c r="B120" s="227" t="str">
        <f>CONCATENATE("Column ",H122)</f>
        <v>Column C2a</v>
      </c>
      <c r="C120" s="31"/>
      <c r="D120" s="27"/>
      <c r="E120" s="17"/>
      <c r="F120" s="34" t="str">
        <f t="shared" si="10"/>
        <v/>
      </c>
      <c r="H120" s="12"/>
      <c r="I120" t="s">
        <v>122</v>
      </c>
      <c r="P120" t="s">
        <v>198</v>
      </c>
    </row>
    <row r="121" spans="1:25" ht="15.75" x14ac:dyDescent="0.25">
      <c r="A121" s="60"/>
      <c r="B121" s="2" t="s">
        <v>123</v>
      </c>
      <c r="C121" s="31">
        <f>+N122</f>
        <v>9.0782880000000006</v>
      </c>
      <c r="D121" s="27" t="s">
        <v>83</v>
      </c>
      <c r="E121" s="28"/>
      <c r="F121" s="34">
        <f t="shared" si="10"/>
        <v>0</v>
      </c>
      <c r="H121" s="12"/>
      <c r="I121" s="12" t="s">
        <v>10</v>
      </c>
      <c r="J121" s="12" t="s">
        <v>199</v>
      </c>
      <c r="K121" s="12" t="s">
        <v>200</v>
      </c>
      <c r="L121" s="12" t="s">
        <v>27</v>
      </c>
      <c r="M121" s="12" t="s">
        <v>21</v>
      </c>
      <c r="N121" s="12" t="s">
        <v>201</v>
      </c>
      <c r="O121" t="s">
        <v>202</v>
      </c>
      <c r="P121" t="s">
        <v>203</v>
      </c>
      <c r="Q121" s="223" t="s">
        <v>10</v>
      </c>
      <c r="R121" s="224" t="s">
        <v>204</v>
      </c>
      <c r="S121" s="224" t="s">
        <v>205</v>
      </c>
      <c r="T121" s="224" t="s">
        <v>206</v>
      </c>
      <c r="U121" s="224" t="s">
        <v>207</v>
      </c>
      <c r="V121" s="224" t="s">
        <v>208</v>
      </c>
      <c r="W121" s="224" t="s">
        <v>209</v>
      </c>
      <c r="X121" s="224" t="s">
        <v>210</v>
      </c>
      <c r="Y121" s="224" t="s">
        <v>205</v>
      </c>
    </row>
    <row r="122" spans="1:25" x14ac:dyDescent="0.25">
      <c r="A122" s="86"/>
      <c r="B122" s="36" t="s">
        <v>0</v>
      </c>
      <c r="C122" s="31"/>
      <c r="D122" s="27"/>
      <c r="E122" s="28"/>
      <c r="F122" s="34" t="str">
        <f t="shared" si="10"/>
        <v/>
      </c>
      <c r="H122" s="12" t="s">
        <v>240</v>
      </c>
      <c r="I122" s="223">
        <v>4</v>
      </c>
      <c r="J122" s="223">
        <v>6.101</v>
      </c>
      <c r="K122" s="223"/>
      <c r="L122" s="223"/>
      <c r="M122">
        <v>0.372</v>
      </c>
      <c r="N122">
        <f>M122*J122*I122</f>
        <v>9.0782880000000006</v>
      </c>
      <c r="O122">
        <f>3.191*J122*I122</f>
        <v>77.873164000000003</v>
      </c>
      <c r="P122" s="223">
        <v>20</v>
      </c>
      <c r="Q122" s="223">
        <v>4</v>
      </c>
      <c r="R122">
        <f>(J122+0.2)*Q122*I122</f>
        <v>100.816</v>
      </c>
      <c r="S122">
        <f>(R122*(P122*P122))/162</f>
        <v>248.92839506172839</v>
      </c>
      <c r="U122" s="223">
        <v>1</v>
      </c>
      <c r="V122" s="223">
        <v>0.15</v>
      </c>
      <c r="W122">
        <f>(J122*I122*U122)/V122</f>
        <v>162.69333333333333</v>
      </c>
      <c r="X122">
        <f>0.898*W122</f>
        <v>146.09861333333333</v>
      </c>
      <c r="Y122">
        <f>((6*6)*X122)/162</f>
        <v>32.466358518518518</v>
      </c>
    </row>
    <row r="123" spans="1:25" x14ac:dyDescent="0.25">
      <c r="A123" s="60"/>
      <c r="B123" s="90" t="s">
        <v>125</v>
      </c>
      <c r="C123" s="31">
        <f>+Y122</f>
        <v>32.466358518518518</v>
      </c>
      <c r="D123" s="27" t="s">
        <v>212</v>
      </c>
      <c r="E123" s="28"/>
      <c r="F123" s="34">
        <f t="shared" si="10"/>
        <v>0</v>
      </c>
      <c r="H123" s="12" t="s">
        <v>211</v>
      </c>
      <c r="I123" s="223"/>
      <c r="J123" s="223">
        <v>3.85</v>
      </c>
      <c r="K123" s="223">
        <v>0.2</v>
      </c>
      <c r="L123" s="223">
        <v>0.2</v>
      </c>
      <c r="M123">
        <f>L123*K123</f>
        <v>4.0000000000000008E-2</v>
      </c>
      <c r="N123">
        <f>M123*J123*I123</f>
        <v>0</v>
      </c>
      <c r="O123">
        <f>(((J123*K123)+(J123*L123))*2)*I123</f>
        <v>0</v>
      </c>
      <c r="P123" s="223">
        <v>12</v>
      </c>
      <c r="Q123" s="223">
        <v>4</v>
      </c>
      <c r="R123">
        <f>(J123+0.2)*Q123*I123</f>
        <v>0</v>
      </c>
      <c r="S123">
        <f>(R123*(P123*P123))/162</f>
        <v>0</v>
      </c>
      <c r="U123" s="223">
        <v>1</v>
      </c>
      <c r="V123" s="223">
        <v>0.15</v>
      </c>
      <c r="W123">
        <f>(J123*I123*U123)/V123</f>
        <v>0</v>
      </c>
      <c r="X123">
        <f>(((K123-0.045)+(L123-0.045))*2)*W123</f>
        <v>0</v>
      </c>
      <c r="Y123">
        <f>((6*6)*X123)/162</f>
        <v>0</v>
      </c>
    </row>
    <row r="124" spans="1:25" x14ac:dyDescent="0.25">
      <c r="A124" s="60"/>
      <c r="B124" s="90" t="str">
        <f>CONCATENATE("Steel deformed bars, ",P122," mm dia")</f>
        <v>Steel deformed bars, 20 mm dia</v>
      </c>
      <c r="C124" s="31">
        <f>+S122</f>
        <v>248.92839506172839</v>
      </c>
      <c r="D124" s="27" t="s">
        <v>212</v>
      </c>
      <c r="E124" s="28"/>
      <c r="F124" s="34">
        <f t="shared" si="10"/>
        <v>0</v>
      </c>
    </row>
    <row r="125" spans="1:25" x14ac:dyDescent="0.25">
      <c r="A125" s="60"/>
      <c r="B125" s="90" t="str">
        <f>IF(I123="","",CONCATENATE("Steel deformed bars, ",P123," mm dia"))</f>
        <v/>
      </c>
      <c r="C125" s="31" t="str">
        <f>IF(I123="","",S123)</f>
        <v/>
      </c>
      <c r="D125" s="27" t="str">
        <f>IF(I123="","","kg")</f>
        <v/>
      </c>
      <c r="E125" s="28"/>
      <c r="F125" s="34" t="str">
        <f t="shared" si="10"/>
        <v/>
      </c>
    </row>
    <row r="126" spans="1:25" x14ac:dyDescent="0.25">
      <c r="A126" s="60"/>
      <c r="B126" s="90" t="s">
        <v>98</v>
      </c>
      <c r="C126" s="31">
        <v>1</v>
      </c>
      <c r="D126" s="27" t="s">
        <v>124</v>
      </c>
      <c r="E126" s="28"/>
      <c r="F126" s="34">
        <f t="shared" si="10"/>
        <v>0</v>
      </c>
    </row>
    <row r="127" spans="1:25" x14ac:dyDescent="0.25">
      <c r="A127" s="60"/>
      <c r="B127" s="90"/>
      <c r="C127" s="31"/>
      <c r="D127" s="27"/>
      <c r="E127" s="28"/>
      <c r="F127" s="34" t="str">
        <f t="shared" si="10"/>
        <v/>
      </c>
    </row>
    <row r="128" spans="1:25" x14ac:dyDescent="0.25">
      <c r="A128" s="60"/>
      <c r="B128" s="88" t="s">
        <v>1</v>
      </c>
      <c r="C128" s="31"/>
      <c r="D128" s="27"/>
      <c r="E128" s="28"/>
      <c r="F128" s="34" t="str">
        <f t="shared" si="10"/>
        <v/>
      </c>
    </row>
    <row r="129" spans="1:25" ht="38.25" x14ac:dyDescent="0.25">
      <c r="A129" s="60"/>
      <c r="B129" s="2" t="s">
        <v>99</v>
      </c>
      <c r="C129" s="225">
        <f>+O122</f>
        <v>77.873164000000003</v>
      </c>
      <c r="D129" s="226" t="s">
        <v>23</v>
      </c>
      <c r="E129" s="28"/>
      <c r="F129" s="34">
        <f t="shared" si="10"/>
        <v>0</v>
      </c>
    </row>
    <row r="130" spans="1:25" x14ac:dyDescent="0.25">
      <c r="A130" s="60"/>
      <c r="B130" s="90"/>
      <c r="C130" s="31"/>
      <c r="D130" s="27"/>
      <c r="E130" s="17"/>
      <c r="F130" s="34" t="str">
        <f t="shared" ref="F130:F140" si="11">IF(E130="",IF(C130="","",C130*E130),C130*E130)</f>
        <v/>
      </c>
    </row>
    <row r="131" spans="1:25" x14ac:dyDescent="0.25">
      <c r="A131" s="86"/>
      <c r="B131" s="227" t="str">
        <f>CONCATENATE("Column ",H133)</f>
        <v>Column C3</v>
      </c>
      <c r="C131" s="31"/>
      <c r="D131" s="27"/>
      <c r="E131" s="17"/>
      <c r="F131" s="34" t="str">
        <f t="shared" si="11"/>
        <v/>
      </c>
      <c r="H131" s="12"/>
      <c r="I131" t="s">
        <v>122</v>
      </c>
      <c r="P131" t="s">
        <v>198</v>
      </c>
    </row>
    <row r="132" spans="1:25" ht="15.75" x14ac:dyDescent="0.25">
      <c r="A132" s="60"/>
      <c r="B132" s="2" t="s">
        <v>123</v>
      </c>
      <c r="C132" s="31">
        <f>+N133</f>
        <v>2.4404000000000003</v>
      </c>
      <c r="D132" s="27" t="s">
        <v>83</v>
      </c>
      <c r="E132" s="28"/>
      <c r="F132" s="34">
        <f t="shared" si="11"/>
        <v>0</v>
      </c>
      <c r="H132" s="12"/>
      <c r="I132" s="12" t="s">
        <v>10</v>
      </c>
      <c r="J132" s="12" t="s">
        <v>199</v>
      </c>
      <c r="K132" s="12" t="s">
        <v>200</v>
      </c>
      <c r="L132" s="12" t="s">
        <v>27</v>
      </c>
      <c r="M132" s="12" t="s">
        <v>21</v>
      </c>
      <c r="N132" s="12" t="s">
        <v>201</v>
      </c>
      <c r="O132" t="s">
        <v>202</v>
      </c>
      <c r="P132" t="s">
        <v>203</v>
      </c>
      <c r="Q132" s="223" t="s">
        <v>10</v>
      </c>
      <c r="R132" s="224" t="s">
        <v>204</v>
      </c>
      <c r="S132" s="224" t="s">
        <v>205</v>
      </c>
      <c r="T132" s="224" t="s">
        <v>206</v>
      </c>
      <c r="U132" s="224" t="s">
        <v>207</v>
      </c>
      <c r="V132" s="224" t="s">
        <v>208</v>
      </c>
      <c r="W132" s="224" t="s">
        <v>209</v>
      </c>
      <c r="X132" s="224" t="s">
        <v>210</v>
      </c>
      <c r="Y132" s="224" t="s">
        <v>205</v>
      </c>
    </row>
    <row r="133" spans="1:25" x14ac:dyDescent="0.25">
      <c r="A133" s="86"/>
      <c r="B133" s="36" t="s">
        <v>0</v>
      </c>
      <c r="C133" s="31"/>
      <c r="D133" s="27"/>
      <c r="E133" s="28"/>
      <c r="F133" s="34" t="str">
        <f t="shared" si="11"/>
        <v/>
      </c>
      <c r="H133" s="12" t="s">
        <v>238</v>
      </c>
      <c r="I133" s="223">
        <v>4</v>
      </c>
      <c r="J133" s="223">
        <v>6.101</v>
      </c>
      <c r="K133" s="223"/>
      <c r="L133" s="223"/>
      <c r="M133">
        <v>0.1</v>
      </c>
      <c r="N133">
        <f>M133*J133*I133</f>
        <v>2.4404000000000003</v>
      </c>
      <c r="O133">
        <f>1.231*J133*I133</f>
        <v>30.041324000000003</v>
      </c>
      <c r="P133" s="223">
        <v>16</v>
      </c>
      <c r="Q133" s="223">
        <v>4</v>
      </c>
      <c r="R133">
        <f>(J133+0.2)*Q133*I133</f>
        <v>100.816</v>
      </c>
      <c r="S133">
        <f>(R133*(P133*P133))/162</f>
        <v>159.31417283950617</v>
      </c>
      <c r="U133" s="223">
        <v>1</v>
      </c>
      <c r="V133" s="223">
        <v>0.15</v>
      </c>
      <c r="W133">
        <f>(J133*I133*U133)/V133</f>
        <v>162.69333333333333</v>
      </c>
      <c r="X133">
        <f>0.898*W133</f>
        <v>146.09861333333333</v>
      </c>
      <c r="Y133">
        <f>((6*6)*X133)/162</f>
        <v>32.466358518518518</v>
      </c>
    </row>
    <row r="134" spans="1:25" x14ac:dyDescent="0.25">
      <c r="A134" s="60"/>
      <c r="B134" s="90" t="s">
        <v>125</v>
      </c>
      <c r="C134" s="31">
        <f>+Y133</f>
        <v>32.466358518518518</v>
      </c>
      <c r="D134" s="27" t="s">
        <v>212</v>
      </c>
      <c r="E134" s="28"/>
      <c r="F134" s="34">
        <f t="shared" si="11"/>
        <v>0</v>
      </c>
      <c r="H134" s="12" t="s">
        <v>211</v>
      </c>
      <c r="I134" s="223"/>
      <c r="J134" s="223">
        <v>3.85</v>
      </c>
      <c r="K134" s="223">
        <v>0.2</v>
      </c>
      <c r="L134" s="223">
        <v>0.2</v>
      </c>
      <c r="M134">
        <f>L134*K134</f>
        <v>4.0000000000000008E-2</v>
      </c>
      <c r="N134">
        <f>M134*J134*I134</f>
        <v>0</v>
      </c>
      <c r="O134">
        <f>(((J134*K134)+(J134*L134))*2)*I134</f>
        <v>0</v>
      </c>
      <c r="P134" s="223">
        <v>12</v>
      </c>
      <c r="Q134" s="223">
        <v>4</v>
      </c>
      <c r="R134">
        <f>(J134+0.2)*Q134*I134</f>
        <v>0</v>
      </c>
      <c r="S134">
        <f>(R134*(P134*P134))/162</f>
        <v>0</v>
      </c>
      <c r="U134" s="223">
        <v>1</v>
      </c>
      <c r="V134" s="223">
        <v>0.15</v>
      </c>
      <c r="W134">
        <f>(J134*I134*U134)/V134</f>
        <v>0</v>
      </c>
      <c r="X134">
        <f>(((K134-0.045)+(L134-0.045))*2)*W134</f>
        <v>0</v>
      </c>
      <c r="Y134">
        <f>((6*6)*X134)/162</f>
        <v>0</v>
      </c>
    </row>
    <row r="135" spans="1:25" x14ac:dyDescent="0.25">
      <c r="A135" s="60"/>
      <c r="B135" s="90" t="str">
        <f>CONCATENATE("Steel deformed bars, ",P133," mm dia")</f>
        <v>Steel deformed bars, 16 mm dia</v>
      </c>
      <c r="C135" s="31">
        <f>+S133</f>
        <v>159.31417283950617</v>
      </c>
      <c r="D135" s="27" t="s">
        <v>212</v>
      </c>
      <c r="E135" s="28"/>
      <c r="F135" s="34">
        <f t="shared" si="11"/>
        <v>0</v>
      </c>
    </row>
    <row r="136" spans="1:25" x14ac:dyDescent="0.25">
      <c r="A136" s="60"/>
      <c r="B136" s="90" t="str">
        <f>IF(I134="","",CONCATENATE("Steel deformed bars, ",P134," mm dia"))</f>
        <v/>
      </c>
      <c r="C136" s="31" t="str">
        <f>IF(I134="","",S134)</f>
        <v/>
      </c>
      <c r="D136" s="27" t="str">
        <f>IF(I134="","","kg")</f>
        <v/>
      </c>
      <c r="E136" s="28"/>
      <c r="F136" s="34" t="str">
        <f t="shared" si="11"/>
        <v/>
      </c>
    </row>
    <row r="137" spans="1:25" x14ac:dyDescent="0.25">
      <c r="A137" s="60"/>
      <c r="B137" s="90" t="s">
        <v>98</v>
      </c>
      <c r="C137" s="31">
        <v>1</v>
      </c>
      <c r="D137" s="27" t="s">
        <v>124</v>
      </c>
      <c r="E137" s="28"/>
      <c r="F137" s="34">
        <f t="shared" si="11"/>
        <v>0</v>
      </c>
    </row>
    <row r="138" spans="1:25" x14ac:dyDescent="0.25">
      <c r="A138" s="60"/>
      <c r="B138" s="90"/>
      <c r="C138" s="31"/>
      <c r="D138" s="27"/>
      <c r="E138" s="28"/>
      <c r="F138" s="34" t="str">
        <f t="shared" si="11"/>
        <v/>
      </c>
    </row>
    <row r="139" spans="1:25" x14ac:dyDescent="0.25">
      <c r="A139" s="60"/>
      <c r="B139" s="88" t="s">
        <v>1</v>
      </c>
      <c r="C139" s="31"/>
      <c r="D139" s="27"/>
      <c r="E139" s="28"/>
      <c r="F139" s="34" t="str">
        <f t="shared" si="11"/>
        <v/>
      </c>
    </row>
    <row r="140" spans="1:25" ht="38.25" x14ac:dyDescent="0.25">
      <c r="A140" s="60"/>
      <c r="B140" s="2" t="s">
        <v>99</v>
      </c>
      <c r="C140" s="225">
        <f>+O133</f>
        <v>30.041324000000003</v>
      </c>
      <c r="D140" s="226" t="s">
        <v>23</v>
      </c>
      <c r="E140" s="28"/>
      <c r="F140" s="34">
        <f t="shared" si="11"/>
        <v>0</v>
      </c>
    </row>
    <row r="141" spans="1:25" x14ac:dyDescent="0.25">
      <c r="A141" s="60"/>
      <c r="B141" s="90"/>
      <c r="C141" s="31"/>
      <c r="D141" s="27"/>
      <c r="E141" s="17"/>
      <c r="F141" s="34" t="str">
        <f t="shared" ref="F141:F158" si="12">IF(E141="",IF(C141="","",C141*E141),C141*E141)</f>
        <v/>
      </c>
    </row>
    <row r="142" spans="1:25" x14ac:dyDescent="0.25">
      <c r="A142" s="86"/>
      <c r="B142" s="227" t="str">
        <f>CONCATENATE("Column ",H144)</f>
        <v>Column C3a</v>
      </c>
      <c r="C142" s="31"/>
      <c r="D142" s="27"/>
      <c r="E142" s="17"/>
      <c r="F142" s="34" t="str">
        <f t="shared" si="12"/>
        <v/>
      </c>
      <c r="H142" s="12"/>
      <c r="I142" t="s">
        <v>122</v>
      </c>
      <c r="P142" t="s">
        <v>198</v>
      </c>
    </row>
    <row r="143" spans="1:25" ht="15.75" x14ac:dyDescent="0.25">
      <c r="A143" s="60"/>
      <c r="B143" s="2" t="s">
        <v>123</v>
      </c>
      <c r="C143" s="31">
        <f>+N144</f>
        <v>9.0782880000000006</v>
      </c>
      <c r="D143" s="27" t="s">
        <v>83</v>
      </c>
      <c r="E143" s="28"/>
      <c r="F143" s="34">
        <f t="shared" si="12"/>
        <v>0</v>
      </c>
      <c r="H143" s="12"/>
      <c r="I143" s="12" t="s">
        <v>10</v>
      </c>
      <c r="J143" s="12" t="s">
        <v>199</v>
      </c>
      <c r="K143" s="12" t="s">
        <v>200</v>
      </c>
      <c r="L143" s="12" t="s">
        <v>27</v>
      </c>
      <c r="M143" s="12" t="s">
        <v>21</v>
      </c>
      <c r="N143" s="12" t="s">
        <v>201</v>
      </c>
      <c r="O143" t="s">
        <v>202</v>
      </c>
      <c r="P143" t="s">
        <v>203</v>
      </c>
      <c r="Q143" s="223" t="s">
        <v>10</v>
      </c>
      <c r="R143" s="224" t="s">
        <v>204</v>
      </c>
      <c r="S143" s="224" t="s">
        <v>205</v>
      </c>
      <c r="T143" s="224" t="s">
        <v>206</v>
      </c>
      <c r="U143" s="224" t="s">
        <v>207</v>
      </c>
      <c r="V143" s="224" t="s">
        <v>208</v>
      </c>
      <c r="W143" s="224" t="s">
        <v>209</v>
      </c>
      <c r="X143" s="224" t="s">
        <v>210</v>
      </c>
      <c r="Y143" s="224" t="s">
        <v>205</v>
      </c>
    </row>
    <row r="144" spans="1:25" x14ac:dyDescent="0.25">
      <c r="A144" s="86"/>
      <c r="B144" s="36" t="s">
        <v>0</v>
      </c>
      <c r="C144" s="31"/>
      <c r="D144" s="27"/>
      <c r="E144" s="28"/>
      <c r="F144" s="34" t="str">
        <f t="shared" si="12"/>
        <v/>
      </c>
      <c r="H144" s="12" t="s">
        <v>237</v>
      </c>
      <c r="I144" s="223">
        <v>4</v>
      </c>
      <c r="J144" s="223">
        <v>6.101</v>
      </c>
      <c r="K144" s="223"/>
      <c r="L144" s="223"/>
      <c r="M144">
        <v>0.372</v>
      </c>
      <c r="N144">
        <f>M144*J144*I144</f>
        <v>9.0782880000000006</v>
      </c>
      <c r="O144">
        <f>3.191*J144*I144</f>
        <v>77.873164000000003</v>
      </c>
      <c r="P144" s="223">
        <v>20</v>
      </c>
      <c r="Q144" s="223">
        <v>4</v>
      </c>
      <c r="R144">
        <f>(J144+0.2)*Q144*I144</f>
        <v>100.816</v>
      </c>
      <c r="S144">
        <f>(R144*(P144*P144))/162</f>
        <v>248.92839506172839</v>
      </c>
      <c r="U144" s="223">
        <v>1</v>
      </c>
      <c r="V144" s="223">
        <v>0.15</v>
      </c>
      <c r="W144">
        <f>(J144*I144*U144)/V144</f>
        <v>162.69333333333333</v>
      </c>
      <c r="X144">
        <f>0.898*W144</f>
        <v>146.09861333333333</v>
      </c>
      <c r="Y144">
        <f>((6*6)*X144)/162</f>
        <v>32.466358518518518</v>
      </c>
    </row>
    <row r="145" spans="1:25" x14ac:dyDescent="0.25">
      <c r="A145" s="60"/>
      <c r="B145" s="90" t="s">
        <v>125</v>
      </c>
      <c r="C145" s="31">
        <f>+Y144</f>
        <v>32.466358518518518</v>
      </c>
      <c r="D145" s="27" t="s">
        <v>212</v>
      </c>
      <c r="E145" s="28"/>
      <c r="F145" s="34">
        <f t="shared" si="12"/>
        <v>0</v>
      </c>
      <c r="H145" s="12" t="s">
        <v>211</v>
      </c>
      <c r="I145" s="223"/>
      <c r="J145" s="223">
        <v>3.85</v>
      </c>
      <c r="K145" s="223">
        <v>0.2</v>
      </c>
      <c r="L145" s="223">
        <v>0.2</v>
      </c>
      <c r="M145">
        <f>L145*K145</f>
        <v>4.0000000000000008E-2</v>
      </c>
      <c r="N145">
        <f>M145*J145*I145</f>
        <v>0</v>
      </c>
      <c r="O145">
        <f>(((J145*K145)+(J145*L145))*2)*I145</f>
        <v>0</v>
      </c>
      <c r="P145" s="223">
        <v>12</v>
      </c>
      <c r="Q145" s="223">
        <v>4</v>
      </c>
      <c r="R145">
        <f>(J145+0.2)*Q145*I145</f>
        <v>0</v>
      </c>
      <c r="S145">
        <f>(R145*(P145*P145))/162</f>
        <v>0</v>
      </c>
      <c r="U145" s="223">
        <v>1</v>
      </c>
      <c r="V145" s="223">
        <v>0.15</v>
      </c>
      <c r="W145">
        <f>(J145*I145*U145)/V145</f>
        <v>0</v>
      </c>
      <c r="X145">
        <f>(((K145-0.045)+(L145-0.045))*2)*W145</f>
        <v>0</v>
      </c>
      <c r="Y145">
        <f>((6*6)*X145)/162</f>
        <v>0</v>
      </c>
    </row>
    <row r="146" spans="1:25" x14ac:dyDescent="0.25">
      <c r="A146" s="60"/>
      <c r="B146" s="90" t="str">
        <f>CONCATENATE("Steel deformed bars, ",P144," mm dia")</f>
        <v>Steel deformed bars, 20 mm dia</v>
      </c>
      <c r="C146" s="31">
        <f>+S144</f>
        <v>248.92839506172839</v>
      </c>
      <c r="D146" s="27" t="s">
        <v>212</v>
      </c>
      <c r="E146" s="28"/>
      <c r="F146" s="34">
        <f t="shared" si="12"/>
        <v>0</v>
      </c>
    </row>
    <row r="147" spans="1:25" x14ac:dyDescent="0.25">
      <c r="A147" s="60"/>
      <c r="B147" s="90" t="str">
        <f>IF(I145="","",CONCATENATE("Steel deformed bars, ",P145," mm dia"))</f>
        <v/>
      </c>
      <c r="C147" s="31" t="str">
        <f>IF(I145="","",S145)</f>
        <v/>
      </c>
      <c r="D147" s="27" t="str">
        <f>IF(I145="","","kg")</f>
        <v/>
      </c>
      <c r="E147" s="28"/>
      <c r="F147" s="34" t="str">
        <f t="shared" si="12"/>
        <v/>
      </c>
    </row>
    <row r="148" spans="1:25" x14ac:dyDescent="0.25">
      <c r="A148" s="60"/>
      <c r="B148" s="90" t="s">
        <v>98</v>
      </c>
      <c r="C148" s="31">
        <v>1</v>
      </c>
      <c r="D148" s="27" t="s">
        <v>124</v>
      </c>
      <c r="E148" s="28"/>
      <c r="F148" s="34">
        <f t="shared" si="12"/>
        <v>0</v>
      </c>
    </row>
    <row r="149" spans="1:25" x14ac:dyDescent="0.25">
      <c r="A149" s="60"/>
      <c r="B149" s="90"/>
      <c r="C149" s="31"/>
      <c r="D149" s="27"/>
      <c r="E149" s="28"/>
      <c r="F149" s="34" t="str">
        <f t="shared" si="12"/>
        <v/>
      </c>
    </row>
    <row r="150" spans="1:25" x14ac:dyDescent="0.25">
      <c r="A150" s="60"/>
      <c r="B150" s="88" t="s">
        <v>1</v>
      </c>
      <c r="C150" s="31"/>
      <c r="D150" s="27"/>
      <c r="E150" s="28"/>
      <c r="F150" s="34" t="str">
        <f t="shared" si="12"/>
        <v/>
      </c>
    </row>
    <row r="151" spans="1:25" ht="38.25" x14ac:dyDescent="0.25">
      <c r="A151" s="60"/>
      <c r="B151" s="2" t="s">
        <v>99</v>
      </c>
      <c r="C151" s="225">
        <f>+O144</f>
        <v>77.873164000000003</v>
      </c>
      <c r="D151" s="226" t="s">
        <v>23</v>
      </c>
      <c r="E151" s="28"/>
      <c r="F151" s="34">
        <f t="shared" si="12"/>
        <v>0</v>
      </c>
    </row>
    <row r="152" spans="1:25" x14ac:dyDescent="0.25">
      <c r="A152" s="60"/>
      <c r="B152" s="90"/>
      <c r="C152" s="31"/>
      <c r="D152" s="27"/>
      <c r="E152" s="28"/>
      <c r="F152" s="34" t="str">
        <f t="shared" si="12"/>
        <v/>
      </c>
    </row>
    <row r="153" spans="1:25" x14ac:dyDescent="0.25">
      <c r="A153" s="86"/>
      <c r="B153" s="14" t="s">
        <v>262</v>
      </c>
      <c r="C153" s="27"/>
      <c r="D153" s="27"/>
      <c r="E153" s="28"/>
      <c r="F153" s="34" t="str">
        <f t="shared" si="12"/>
        <v/>
      </c>
      <c r="K153">
        <v>3.9249999999999998</v>
      </c>
      <c r="L153">
        <f>3.925/0.075</f>
        <v>52.333333333333336</v>
      </c>
      <c r="M153">
        <f>L153*K154</f>
        <v>73.266666666666666</v>
      </c>
      <c r="N153">
        <f>(M153+M154)*2</f>
        <v>293.06666666666666</v>
      </c>
      <c r="O153">
        <f>(N153*(10*10))/162</f>
        <v>180.9053497942387</v>
      </c>
    </row>
    <row r="154" spans="1:25" ht="15.75" x14ac:dyDescent="0.25">
      <c r="A154" s="60"/>
      <c r="B154" s="2" t="s">
        <v>122</v>
      </c>
      <c r="C154" s="31">
        <v>1.099</v>
      </c>
      <c r="D154" s="27" t="s">
        <v>83</v>
      </c>
      <c r="E154" s="28"/>
      <c r="F154" s="34">
        <f t="shared" si="12"/>
        <v>0</v>
      </c>
      <c r="K154">
        <v>1.4</v>
      </c>
      <c r="L154">
        <f>1.4/0.075</f>
        <v>18.666666666666668</v>
      </c>
      <c r="M154">
        <f>L154*K153</f>
        <v>73.266666666666666</v>
      </c>
    </row>
    <row r="155" spans="1:25" x14ac:dyDescent="0.25">
      <c r="A155" s="86"/>
      <c r="B155" s="36" t="s">
        <v>0</v>
      </c>
      <c r="C155" s="31"/>
      <c r="D155" s="27"/>
      <c r="E155" s="28"/>
      <c r="F155" s="34" t="str">
        <f t="shared" si="12"/>
        <v/>
      </c>
    </row>
    <row r="156" spans="1:25" x14ac:dyDescent="0.25">
      <c r="A156" s="60"/>
      <c r="B156" s="90" t="s">
        <v>234</v>
      </c>
      <c r="C156" s="31">
        <v>180.90530000000001</v>
      </c>
      <c r="D156" s="27" t="s">
        <v>157</v>
      </c>
      <c r="E156" s="28"/>
      <c r="F156" s="34">
        <f t="shared" si="12"/>
        <v>0</v>
      </c>
      <c r="K156">
        <f>3.925*1.4*0.2</f>
        <v>1.099</v>
      </c>
      <c r="M156">
        <f>1.4+1.4+0.2+0.2</f>
        <v>3.2</v>
      </c>
    </row>
    <row r="157" spans="1:25" x14ac:dyDescent="0.25">
      <c r="A157" s="60"/>
      <c r="B157" s="88" t="s">
        <v>1</v>
      </c>
      <c r="C157" s="27"/>
      <c r="D157" s="27"/>
      <c r="E157" s="28"/>
      <c r="F157" s="34" t="str">
        <f t="shared" si="12"/>
        <v/>
      </c>
      <c r="M157">
        <f>M156*3.925</f>
        <v>12.56</v>
      </c>
    </row>
    <row r="158" spans="1:25" ht="43.5" customHeight="1" x14ac:dyDescent="0.25">
      <c r="A158" s="60"/>
      <c r="B158" s="2" t="s">
        <v>99</v>
      </c>
      <c r="C158" s="31">
        <v>12.56</v>
      </c>
      <c r="D158" s="27" t="s">
        <v>23</v>
      </c>
      <c r="E158" s="28"/>
      <c r="F158" s="34">
        <f t="shared" si="12"/>
        <v>0</v>
      </c>
    </row>
    <row r="159" spans="1:25" x14ac:dyDescent="0.25">
      <c r="A159" s="60"/>
      <c r="B159" s="90"/>
      <c r="C159" s="31"/>
      <c r="D159" s="27"/>
      <c r="E159" s="28"/>
      <c r="F159" s="34" t="str">
        <f t="shared" ref="F159:F165" si="13">IF(E159="",IF(C159="","",C159*E159),C159*E159)</f>
        <v/>
      </c>
    </row>
    <row r="160" spans="1:25" x14ac:dyDescent="0.25">
      <c r="A160" s="86"/>
      <c r="B160" s="14" t="s">
        <v>262</v>
      </c>
      <c r="C160" s="27"/>
      <c r="D160" s="27"/>
      <c r="E160" s="28"/>
      <c r="F160" s="34" t="str">
        <f t="shared" si="13"/>
        <v/>
      </c>
      <c r="K160">
        <v>6</v>
      </c>
      <c r="L160">
        <f>6/0.2</f>
        <v>30</v>
      </c>
      <c r="M160">
        <f>L160*K161</f>
        <v>45</v>
      </c>
      <c r="N160">
        <f>(M160+M161)*2</f>
        <v>270</v>
      </c>
      <c r="O160">
        <f>(N160*(10*10))/162</f>
        <v>166.66666666666666</v>
      </c>
    </row>
    <row r="161" spans="1:25" ht="15.75" x14ac:dyDescent="0.25">
      <c r="A161" s="60"/>
      <c r="B161" s="2" t="s">
        <v>122</v>
      </c>
      <c r="C161" s="31">
        <f>6*1.5*0.24</f>
        <v>2.16</v>
      </c>
      <c r="D161" s="27" t="s">
        <v>83</v>
      </c>
      <c r="E161" s="28"/>
      <c r="F161" s="34">
        <f t="shared" si="13"/>
        <v>0</v>
      </c>
      <c r="K161">
        <v>1.5</v>
      </c>
      <c r="L161">
        <f>1.5/0.1</f>
        <v>15</v>
      </c>
      <c r="M161">
        <f>L161*K160</f>
        <v>90</v>
      </c>
    </row>
    <row r="162" spans="1:25" x14ac:dyDescent="0.25">
      <c r="A162" s="86"/>
      <c r="B162" s="36" t="s">
        <v>0</v>
      </c>
      <c r="C162" s="31"/>
      <c r="D162" s="27"/>
      <c r="E162" s="28"/>
      <c r="F162" s="34" t="str">
        <f t="shared" si="13"/>
        <v/>
      </c>
    </row>
    <row r="163" spans="1:25" x14ac:dyDescent="0.25">
      <c r="A163" s="60"/>
      <c r="B163" s="90" t="s">
        <v>234</v>
      </c>
      <c r="C163" s="31">
        <v>166.66669999999999</v>
      </c>
      <c r="D163" s="27" t="s">
        <v>157</v>
      </c>
      <c r="E163" s="28"/>
      <c r="F163" s="34">
        <f t="shared" si="13"/>
        <v>0</v>
      </c>
      <c r="K163">
        <f>3.925*1.4*0.2</f>
        <v>1.099</v>
      </c>
      <c r="M163">
        <f>1.4+1.4+0.2+0.2</f>
        <v>3.2</v>
      </c>
    </row>
    <row r="164" spans="1:25" x14ac:dyDescent="0.25">
      <c r="A164" s="60"/>
      <c r="B164" s="88" t="s">
        <v>1</v>
      </c>
      <c r="C164" s="27"/>
      <c r="D164" s="27"/>
      <c r="E164" s="28"/>
      <c r="F164" s="34" t="str">
        <f t="shared" si="13"/>
        <v/>
      </c>
      <c r="M164">
        <f>M163*3.925</f>
        <v>12.56</v>
      </c>
    </row>
    <row r="165" spans="1:25" ht="43.5" customHeight="1" x14ac:dyDescent="0.25">
      <c r="A165" s="60"/>
      <c r="B165" s="2" t="s">
        <v>99</v>
      </c>
      <c r="C165" s="31">
        <f>(6*1.5)+(6*0.24)</f>
        <v>10.44</v>
      </c>
      <c r="D165" s="27" t="s">
        <v>23</v>
      </c>
      <c r="E165" s="28"/>
      <c r="F165" s="34">
        <f t="shared" si="13"/>
        <v>0</v>
      </c>
    </row>
    <row r="166" spans="1:25" x14ac:dyDescent="0.25">
      <c r="A166" s="60"/>
      <c r="B166" s="2"/>
      <c r="C166" s="225"/>
      <c r="D166" s="226"/>
      <c r="E166" s="28"/>
      <c r="F166" s="34"/>
    </row>
    <row r="167" spans="1:25" ht="15.75" thickBot="1" x14ac:dyDescent="0.3">
      <c r="A167" s="199">
        <v>3.4</v>
      </c>
      <c r="B167" s="260" t="s">
        <v>244</v>
      </c>
      <c r="C167" s="261"/>
      <c r="D167" s="261"/>
      <c r="E167" s="261"/>
      <c r="F167" s="155">
        <f>SUM(F168:F281)</f>
        <v>0</v>
      </c>
      <c r="J167">
        <v>409.22</v>
      </c>
      <c r="K167">
        <f>J167*0.15</f>
        <v>61.383000000000003</v>
      </c>
    </row>
    <row r="168" spans="1:25" ht="15.75" thickTop="1" x14ac:dyDescent="0.25">
      <c r="A168" s="60"/>
      <c r="B168" s="2"/>
      <c r="C168" s="31"/>
      <c r="D168" s="27"/>
      <c r="E168" s="28"/>
      <c r="F168" s="34"/>
      <c r="J168">
        <f>J167/30</f>
        <v>13.640666666666668</v>
      </c>
    </row>
    <row r="169" spans="1:25" x14ac:dyDescent="0.25">
      <c r="A169" s="86"/>
      <c r="B169" s="14" t="s">
        <v>245</v>
      </c>
      <c r="C169" s="27"/>
      <c r="D169" s="27"/>
      <c r="E169" s="17"/>
      <c r="F169" s="34" t="str">
        <f t="shared" ref="F169:F238" si="14">IF(E169="",IF(C169="","",C169*E169),C169*E169)</f>
        <v/>
      </c>
      <c r="G169">
        <v>191.35</v>
      </c>
      <c r="J169">
        <f>30000/150</f>
        <v>200</v>
      </c>
      <c r="K169">
        <f>J169*13.645</f>
        <v>2729</v>
      </c>
      <c r="L169">
        <f>J170*((13.743/5.2)*(40*0.01))</f>
        <v>96.165761538461538</v>
      </c>
      <c r="M169">
        <f>K169+K170+L169+L170+K170+L169</f>
        <v>8840.8699846153831</v>
      </c>
      <c r="N169">
        <f>M169*1</f>
        <v>8840.8699846153831</v>
      </c>
      <c r="O169">
        <f>(N169*(10*10))/162</f>
        <v>5457.3271509971501</v>
      </c>
    </row>
    <row r="170" spans="1:25" ht="15.75" x14ac:dyDescent="0.25">
      <c r="A170" s="60"/>
      <c r="B170" s="2" t="s">
        <v>122</v>
      </c>
      <c r="C170" s="31">
        <v>37.1</v>
      </c>
      <c r="D170" s="27" t="s">
        <v>83</v>
      </c>
      <c r="E170" s="17"/>
      <c r="F170" s="34">
        <f t="shared" si="14"/>
        <v>0</v>
      </c>
      <c r="G170">
        <v>22.79</v>
      </c>
      <c r="J170">
        <f>13645/150</f>
        <v>90.966666666666669</v>
      </c>
      <c r="K170">
        <f>J170*30</f>
        <v>2729</v>
      </c>
      <c r="L170">
        <f>J169*((30/5.2)*(40*0.01))</f>
        <v>461.5384615384616</v>
      </c>
    </row>
    <row r="171" spans="1:25" x14ac:dyDescent="0.25">
      <c r="A171" s="86"/>
      <c r="B171" s="36" t="s">
        <v>0</v>
      </c>
      <c r="C171" s="31"/>
      <c r="D171" s="27"/>
      <c r="E171" s="17"/>
      <c r="F171" s="34" t="str">
        <f t="shared" si="14"/>
        <v/>
      </c>
      <c r="G171">
        <v>33.25</v>
      </c>
    </row>
    <row r="172" spans="1:25" x14ac:dyDescent="0.25">
      <c r="A172" s="60"/>
      <c r="B172" s="90" t="s">
        <v>254</v>
      </c>
      <c r="C172" s="31">
        <f>5457*0.78</f>
        <v>4256.46</v>
      </c>
      <c r="D172" s="27" t="s">
        <v>157</v>
      </c>
      <c r="E172" s="17"/>
      <c r="F172" s="34">
        <f t="shared" si="14"/>
        <v>0</v>
      </c>
      <c r="H172">
        <f>+G172/G173%</f>
        <v>0</v>
      </c>
    </row>
    <row r="173" spans="1:25" x14ac:dyDescent="0.25">
      <c r="A173" s="60"/>
      <c r="B173" s="90"/>
      <c r="C173" s="31"/>
      <c r="D173" s="27"/>
      <c r="E173" s="17"/>
      <c r="F173" s="34" t="str">
        <f t="shared" si="14"/>
        <v/>
      </c>
      <c r="G173">
        <f>SUM(G169:G172)</f>
        <v>247.39</v>
      </c>
    </row>
    <row r="174" spans="1:25" x14ac:dyDescent="0.25">
      <c r="A174" s="86"/>
      <c r="B174" s="227" t="str">
        <f>CONCATENATE("Column ",H176)</f>
        <v>Column C1</v>
      </c>
      <c r="C174" s="31"/>
      <c r="D174" s="27"/>
      <c r="E174" s="17"/>
      <c r="F174" s="34" t="str">
        <f t="shared" si="14"/>
        <v/>
      </c>
      <c r="G174">
        <f>+G173*0.15</f>
        <v>37.108499999999999</v>
      </c>
      <c r="H174" s="12"/>
      <c r="I174" t="s">
        <v>122</v>
      </c>
      <c r="P174" t="s">
        <v>198</v>
      </c>
    </row>
    <row r="175" spans="1:25" ht="15.75" x14ac:dyDescent="0.25">
      <c r="A175" s="60"/>
      <c r="B175" s="2" t="s">
        <v>123</v>
      </c>
      <c r="C175" s="31">
        <f>+N176</f>
        <v>6.4727999999999994</v>
      </c>
      <c r="D175" s="27" t="s">
        <v>83</v>
      </c>
      <c r="E175" s="28"/>
      <c r="F175" s="34">
        <f t="shared" si="14"/>
        <v>0</v>
      </c>
      <c r="H175" s="12"/>
      <c r="I175" s="12" t="s">
        <v>10</v>
      </c>
      <c r="J175" s="12" t="s">
        <v>199</v>
      </c>
      <c r="K175" s="12" t="s">
        <v>200</v>
      </c>
      <c r="L175" s="12" t="s">
        <v>27</v>
      </c>
      <c r="M175" s="12" t="s">
        <v>21</v>
      </c>
      <c r="N175" s="12" t="s">
        <v>201</v>
      </c>
      <c r="O175" t="s">
        <v>202</v>
      </c>
      <c r="P175" t="s">
        <v>203</v>
      </c>
      <c r="Q175" s="223" t="s">
        <v>10</v>
      </c>
      <c r="R175" s="224" t="s">
        <v>204</v>
      </c>
      <c r="S175" s="224" t="s">
        <v>205</v>
      </c>
      <c r="T175" s="224" t="s">
        <v>206</v>
      </c>
      <c r="U175" s="224" t="s">
        <v>207</v>
      </c>
      <c r="V175" s="224" t="s">
        <v>208</v>
      </c>
      <c r="W175" s="224" t="s">
        <v>209</v>
      </c>
      <c r="X175" s="224" t="s">
        <v>210</v>
      </c>
      <c r="Y175" s="224" t="s">
        <v>205</v>
      </c>
    </row>
    <row r="176" spans="1:25" x14ac:dyDescent="0.25">
      <c r="A176" s="86"/>
      <c r="B176" s="36" t="s">
        <v>0</v>
      </c>
      <c r="C176" s="31"/>
      <c r="D176" s="27"/>
      <c r="E176" s="28"/>
      <c r="F176" s="34" t="str">
        <f t="shared" si="14"/>
        <v/>
      </c>
      <c r="H176" s="12" t="s">
        <v>211</v>
      </c>
      <c r="I176" s="223">
        <v>4</v>
      </c>
      <c r="J176" s="223">
        <v>4.3499999999999996</v>
      </c>
      <c r="K176" s="223"/>
      <c r="L176" s="223"/>
      <c r="M176">
        <v>0.372</v>
      </c>
      <c r="N176">
        <f>M176*J176*I176</f>
        <v>6.4727999999999994</v>
      </c>
      <c r="O176">
        <f>3.191*J176*I176</f>
        <v>55.523399999999995</v>
      </c>
      <c r="P176" s="223">
        <v>16</v>
      </c>
      <c r="Q176" s="223">
        <v>12</v>
      </c>
      <c r="R176">
        <f>(J176+0.2)*Q176*I176</f>
        <v>218.39999999999998</v>
      </c>
      <c r="S176">
        <f>(R176*(P176*P176))/162</f>
        <v>345.12592592592591</v>
      </c>
      <c r="U176" s="223">
        <v>3</v>
      </c>
      <c r="V176" s="223">
        <v>0.15</v>
      </c>
      <c r="W176">
        <f>(J176*I176*U176)/V176</f>
        <v>348</v>
      </c>
      <c r="X176">
        <f>1.533*2*W176</f>
        <v>1066.9679999999998</v>
      </c>
      <c r="Y176">
        <f>((6*6)*X176)/162</f>
        <v>237.10399999999998</v>
      </c>
    </row>
    <row r="177" spans="1:25" x14ac:dyDescent="0.25">
      <c r="A177" s="60"/>
      <c r="B177" s="90" t="s">
        <v>125</v>
      </c>
      <c r="C177" s="31">
        <f>+Y176</f>
        <v>237.10399999999998</v>
      </c>
      <c r="D177" s="27" t="s">
        <v>212</v>
      </c>
      <c r="E177" s="28"/>
      <c r="F177" s="34">
        <f t="shared" si="14"/>
        <v>0</v>
      </c>
      <c r="H177" s="12" t="s">
        <v>211</v>
      </c>
      <c r="I177" s="223"/>
      <c r="J177" s="223">
        <v>3.85</v>
      </c>
      <c r="K177" s="223">
        <v>0.2</v>
      </c>
      <c r="L177" s="223">
        <v>0.2</v>
      </c>
      <c r="M177">
        <f>L177*K177</f>
        <v>4.0000000000000008E-2</v>
      </c>
      <c r="N177">
        <f>M177*J177*I177</f>
        <v>0</v>
      </c>
      <c r="O177">
        <f>(((J177*K177)+(J177*L177))*2)*I177</f>
        <v>0</v>
      </c>
      <c r="P177" s="223">
        <v>12</v>
      </c>
      <c r="Q177" s="223">
        <v>4</v>
      </c>
      <c r="R177">
        <f>(J177+0.2)*Q177*I177</f>
        <v>0</v>
      </c>
      <c r="S177">
        <f>(R177*(P177*P177))/162</f>
        <v>0</v>
      </c>
      <c r="U177" s="223">
        <v>1</v>
      </c>
      <c r="V177" s="223">
        <v>0.15</v>
      </c>
      <c r="W177">
        <f>(J177*I177*U177)/V177</f>
        <v>0</v>
      </c>
      <c r="X177">
        <f>(((K177-0.045)+(L177-0.045))*2)*W177</f>
        <v>0</v>
      </c>
      <c r="Y177">
        <f>((6*6)*X177)/162</f>
        <v>0</v>
      </c>
    </row>
    <row r="178" spans="1:25" x14ac:dyDescent="0.25">
      <c r="A178" s="60"/>
      <c r="B178" s="90" t="str">
        <f>CONCATENATE("Steel deformed bars, ",P176," mm dia")</f>
        <v>Steel deformed bars, 16 mm dia</v>
      </c>
      <c r="C178" s="31">
        <f>+S176</f>
        <v>345.12592592592591</v>
      </c>
      <c r="D178" s="27" t="s">
        <v>212</v>
      </c>
      <c r="E178" s="28"/>
      <c r="F178" s="34">
        <f t="shared" si="14"/>
        <v>0</v>
      </c>
    </row>
    <row r="179" spans="1:25" x14ac:dyDescent="0.25">
      <c r="A179" s="60"/>
      <c r="B179" s="90" t="str">
        <f>IF(I177="","",CONCATENATE("Steel deformed bars, ",P177," mm dia"))</f>
        <v/>
      </c>
      <c r="C179" s="31" t="str">
        <f>IF(I177="","",S177)</f>
        <v/>
      </c>
      <c r="D179" s="27" t="str">
        <f>IF(I177="","","kg")</f>
        <v/>
      </c>
      <c r="E179" s="28"/>
      <c r="F179" s="34" t="str">
        <f t="shared" si="14"/>
        <v/>
      </c>
    </row>
    <row r="180" spans="1:25" x14ac:dyDescent="0.25">
      <c r="A180" s="60"/>
      <c r="B180" s="90" t="s">
        <v>98</v>
      </c>
      <c r="C180" s="31">
        <v>1</v>
      </c>
      <c r="D180" s="27" t="s">
        <v>124</v>
      </c>
      <c r="E180" s="28"/>
      <c r="F180" s="34">
        <f t="shared" si="14"/>
        <v>0</v>
      </c>
    </row>
    <row r="181" spans="1:25" x14ac:dyDescent="0.25">
      <c r="A181" s="60"/>
      <c r="B181" s="90"/>
      <c r="C181" s="31"/>
      <c r="D181" s="27"/>
      <c r="E181" s="28"/>
      <c r="F181" s="34" t="str">
        <f t="shared" si="14"/>
        <v/>
      </c>
    </row>
    <row r="182" spans="1:25" x14ac:dyDescent="0.25">
      <c r="A182" s="60"/>
      <c r="B182" s="88" t="s">
        <v>1</v>
      </c>
      <c r="C182" s="31"/>
      <c r="D182" s="27"/>
      <c r="E182" s="28"/>
      <c r="F182" s="34" t="str">
        <f t="shared" si="14"/>
        <v/>
      </c>
    </row>
    <row r="183" spans="1:25" ht="38.25" x14ac:dyDescent="0.25">
      <c r="A183" s="60"/>
      <c r="B183" s="2" t="s">
        <v>99</v>
      </c>
      <c r="C183" s="225">
        <f>+O176</f>
        <v>55.523399999999995</v>
      </c>
      <c r="D183" s="226" t="s">
        <v>23</v>
      </c>
      <c r="E183" s="28"/>
      <c r="F183" s="34">
        <f t="shared" si="14"/>
        <v>0</v>
      </c>
    </row>
    <row r="184" spans="1:25" x14ac:dyDescent="0.25">
      <c r="A184" s="60"/>
      <c r="B184" s="90"/>
      <c r="C184" s="31"/>
      <c r="D184" s="27"/>
      <c r="E184" s="17"/>
      <c r="F184" s="34" t="str">
        <f t="shared" si="14"/>
        <v/>
      </c>
    </row>
    <row r="185" spans="1:25" x14ac:dyDescent="0.25">
      <c r="A185" s="86"/>
      <c r="B185" s="227" t="str">
        <f>CONCATENATE("Column ",H187)</f>
        <v>Column C1a</v>
      </c>
      <c r="C185" s="31"/>
      <c r="D185" s="27"/>
      <c r="E185" s="17"/>
      <c r="F185" s="34" t="str">
        <f t="shared" si="14"/>
        <v/>
      </c>
      <c r="H185" s="12"/>
      <c r="I185" t="s">
        <v>122</v>
      </c>
      <c r="P185" t="s">
        <v>198</v>
      </c>
    </row>
    <row r="186" spans="1:25" ht="15.75" x14ac:dyDescent="0.25">
      <c r="A186" s="60"/>
      <c r="B186" s="2" t="s">
        <v>123</v>
      </c>
      <c r="C186" s="31">
        <f>+N187</f>
        <v>6.4727999999999994</v>
      </c>
      <c r="D186" s="27" t="s">
        <v>83</v>
      </c>
      <c r="E186" s="28"/>
      <c r="F186" s="34">
        <f t="shared" si="14"/>
        <v>0</v>
      </c>
      <c r="H186" s="12"/>
      <c r="I186" s="12" t="s">
        <v>10</v>
      </c>
      <c r="J186" s="12" t="s">
        <v>199</v>
      </c>
      <c r="K186" s="12" t="s">
        <v>200</v>
      </c>
      <c r="L186" s="12" t="s">
        <v>27</v>
      </c>
      <c r="M186" s="12" t="s">
        <v>21</v>
      </c>
      <c r="N186" s="12" t="s">
        <v>201</v>
      </c>
      <c r="O186" t="s">
        <v>202</v>
      </c>
      <c r="P186" t="s">
        <v>203</v>
      </c>
      <c r="Q186" s="223" t="s">
        <v>10</v>
      </c>
      <c r="R186" s="224" t="s">
        <v>204</v>
      </c>
      <c r="S186" s="224" t="s">
        <v>205</v>
      </c>
      <c r="T186" s="224" t="s">
        <v>242</v>
      </c>
      <c r="U186" s="224" t="s">
        <v>207</v>
      </c>
      <c r="V186" s="224" t="s">
        <v>208</v>
      </c>
      <c r="W186" s="224" t="s">
        <v>209</v>
      </c>
      <c r="X186" s="224" t="s">
        <v>210</v>
      </c>
      <c r="Y186" s="224" t="s">
        <v>205</v>
      </c>
    </row>
    <row r="187" spans="1:25" x14ac:dyDescent="0.25">
      <c r="A187" s="86"/>
      <c r="B187" s="36" t="s">
        <v>0</v>
      </c>
      <c r="C187" s="31"/>
      <c r="D187" s="27"/>
      <c r="E187" s="28"/>
      <c r="F187" s="34" t="str">
        <f t="shared" si="14"/>
        <v/>
      </c>
      <c r="H187" s="12" t="s">
        <v>241</v>
      </c>
      <c r="I187" s="223">
        <v>4</v>
      </c>
      <c r="J187" s="223">
        <v>4.3499999999999996</v>
      </c>
      <c r="K187" s="223"/>
      <c r="L187" s="223"/>
      <c r="M187">
        <v>0.372</v>
      </c>
      <c r="N187">
        <f>M187*J187*I187</f>
        <v>6.4727999999999994</v>
      </c>
      <c r="O187">
        <f>3.191*J187*I187</f>
        <v>55.523399999999995</v>
      </c>
      <c r="P187" s="223">
        <v>20</v>
      </c>
      <c r="Q187" s="223">
        <v>12</v>
      </c>
      <c r="R187">
        <f>(J187+0.2)*Q187*I187</f>
        <v>218.39999999999998</v>
      </c>
      <c r="S187">
        <f>(R187*(P187*P187))/162</f>
        <v>539.25925925925912</v>
      </c>
      <c r="U187" s="223">
        <v>3</v>
      </c>
      <c r="V187" s="223">
        <v>0.15</v>
      </c>
      <c r="W187">
        <f>(J187*I187*U187)/V187</f>
        <v>348</v>
      </c>
      <c r="X187">
        <f>1.533*2*W187</f>
        <v>1066.9679999999998</v>
      </c>
      <c r="Y187">
        <f>((8*8)*X187)/162</f>
        <v>421.51822222222216</v>
      </c>
    </row>
    <row r="188" spans="1:25" x14ac:dyDescent="0.25">
      <c r="A188" s="60"/>
      <c r="B188" s="90" t="s">
        <v>243</v>
      </c>
      <c r="C188" s="31">
        <f>+Y187</f>
        <v>421.51822222222216</v>
      </c>
      <c r="D188" s="27" t="s">
        <v>212</v>
      </c>
      <c r="E188" s="28"/>
      <c r="F188" s="34">
        <f t="shared" si="14"/>
        <v>0</v>
      </c>
      <c r="H188" s="12" t="s">
        <v>211</v>
      </c>
      <c r="I188" s="223"/>
      <c r="J188" s="223">
        <v>3.85</v>
      </c>
      <c r="K188" s="223">
        <v>0.2</v>
      </c>
      <c r="L188" s="223">
        <v>0.2</v>
      </c>
      <c r="M188">
        <f>L188*K188</f>
        <v>4.0000000000000008E-2</v>
      </c>
      <c r="N188">
        <f>M188*J188*I188</f>
        <v>0</v>
      </c>
      <c r="O188">
        <f>(((J188*K188)+(J188*L188))*2)*I188</f>
        <v>0</v>
      </c>
      <c r="P188" s="223">
        <v>20</v>
      </c>
      <c r="Q188" s="223">
        <v>4</v>
      </c>
      <c r="R188">
        <f>(J188+0.2)*Q188*I188</f>
        <v>0</v>
      </c>
      <c r="S188">
        <f>(R188*(P188*P188))/162</f>
        <v>0</v>
      </c>
      <c r="U188" s="223">
        <v>1</v>
      </c>
      <c r="V188" s="223">
        <v>0.15</v>
      </c>
      <c r="W188">
        <f>(J188*I188*U188)/V188</f>
        <v>0</v>
      </c>
      <c r="X188">
        <f>(((K188-0.045)+(L188-0.045))*2)*W188</f>
        <v>0</v>
      </c>
      <c r="Y188">
        <f>((6*6)*X188)/162</f>
        <v>0</v>
      </c>
    </row>
    <row r="189" spans="1:25" x14ac:dyDescent="0.25">
      <c r="A189" s="60"/>
      <c r="B189" s="90" t="str">
        <f>CONCATENATE("Steel deformed bars, ",P187," mm dia")</f>
        <v>Steel deformed bars, 20 mm dia</v>
      </c>
      <c r="C189" s="31">
        <f>+S187</f>
        <v>539.25925925925912</v>
      </c>
      <c r="D189" s="27" t="s">
        <v>212</v>
      </c>
      <c r="E189" s="28"/>
      <c r="F189" s="34">
        <f t="shared" si="14"/>
        <v>0</v>
      </c>
    </row>
    <row r="190" spans="1:25" x14ac:dyDescent="0.25">
      <c r="A190" s="60"/>
      <c r="B190" s="90" t="str">
        <f>IF(I188="","",CONCATENATE("Steel deformed bars, ",P188," mm dia"))</f>
        <v/>
      </c>
      <c r="C190" s="31" t="str">
        <f>IF(I188="","",S188)</f>
        <v/>
      </c>
      <c r="D190" s="27" t="str">
        <f>IF(I188="","","kg")</f>
        <v/>
      </c>
      <c r="E190" s="28"/>
      <c r="F190" s="34" t="str">
        <f t="shared" si="14"/>
        <v/>
      </c>
    </row>
    <row r="191" spans="1:25" x14ac:dyDescent="0.25">
      <c r="A191" s="60"/>
      <c r="B191" s="90" t="s">
        <v>98</v>
      </c>
      <c r="C191" s="31">
        <v>1</v>
      </c>
      <c r="D191" s="27" t="s">
        <v>124</v>
      </c>
      <c r="E191" s="28"/>
      <c r="F191" s="34">
        <f t="shared" si="14"/>
        <v>0</v>
      </c>
    </row>
    <row r="192" spans="1:25" x14ac:dyDescent="0.25">
      <c r="A192" s="60"/>
      <c r="B192" s="90"/>
      <c r="C192" s="31"/>
      <c r="D192" s="27"/>
      <c r="E192" s="28"/>
      <c r="F192" s="34" t="str">
        <f t="shared" si="14"/>
        <v/>
      </c>
    </row>
    <row r="193" spans="1:25" x14ac:dyDescent="0.25">
      <c r="A193" s="60"/>
      <c r="B193" s="88" t="s">
        <v>1</v>
      </c>
      <c r="C193" s="31"/>
      <c r="D193" s="27"/>
      <c r="E193" s="28"/>
      <c r="F193" s="34" t="str">
        <f t="shared" si="14"/>
        <v/>
      </c>
    </row>
    <row r="194" spans="1:25" ht="38.25" x14ac:dyDescent="0.25">
      <c r="A194" s="60"/>
      <c r="B194" s="2" t="s">
        <v>99</v>
      </c>
      <c r="C194" s="225">
        <f>+O187</f>
        <v>55.523399999999995</v>
      </c>
      <c r="D194" s="226" t="s">
        <v>23</v>
      </c>
      <c r="E194" s="28"/>
      <c r="F194" s="34">
        <f t="shared" si="14"/>
        <v>0</v>
      </c>
    </row>
    <row r="195" spans="1:25" x14ac:dyDescent="0.25">
      <c r="A195" s="60"/>
      <c r="B195" s="90"/>
      <c r="C195" s="31"/>
      <c r="D195" s="27"/>
      <c r="E195" s="17"/>
      <c r="F195" s="34" t="str">
        <f t="shared" si="14"/>
        <v/>
      </c>
    </row>
    <row r="196" spans="1:25" x14ac:dyDescent="0.25">
      <c r="A196" s="86"/>
      <c r="B196" s="227" t="str">
        <f>CONCATENATE("Column ",H198)</f>
        <v>Column C2</v>
      </c>
      <c r="C196" s="31"/>
      <c r="D196" s="27"/>
      <c r="E196" s="17"/>
      <c r="F196" s="34" t="str">
        <f t="shared" si="14"/>
        <v/>
      </c>
      <c r="H196" s="12"/>
      <c r="I196" t="s">
        <v>122</v>
      </c>
      <c r="P196" t="s">
        <v>198</v>
      </c>
    </row>
    <row r="197" spans="1:25" ht="15.75" x14ac:dyDescent="0.25">
      <c r="A197" s="60"/>
      <c r="B197" s="2" t="s">
        <v>123</v>
      </c>
      <c r="C197" s="31">
        <f>+N198</f>
        <v>1.74</v>
      </c>
      <c r="D197" s="27" t="s">
        <v>83</v>
      </c>
      <c r="E197" s="28"/>
      <c r="F197" s="34">
        <f t="shared" si="14"/>
        <v>0</v>
      </c>
      <c r="H197" s="12"/>
      <c r="I197" s="12" t="s">
        <v>10</v>
      </c>
      <c r="J197" s="12" t="s">
        <v>199</v>
      </c>
      <c r="K197" s="12" t="s">
        <v>200</v>
      </c>
      <c r="L197" s="12" t="s">
        <v>27</v>
      </c>
      <c r="M197" s="12" t="s">
        <v>21</v>
      </c>
      <c r="N197" s="12" t="s">
        <v>201</v>
      </c>
      <c r="O197" t="s">
        <v>202</v>
      </c>
      <c r="P197" t="s">
        <v>203</v>
      </c>
      <c r="Q197" s="223" t="s">
        <v>10</v>
      </c>
      <c r="R197" s="224" t="s">
        <v>204</v>
      </c>
      <c r="S197" s="224" t="s">
        <v>205</v>
      </c>
      <c r="T197" s="224" t="s">
        <v>206</v>
      </c>
      <c r="U197" s="224" t="s">
        <v>207</v>
      </c>
      <c r="V197" s="224" t="s">
        <v>208</v>
      </c>
      <c r="W197" s="224" t="s">
        <v>209</v>
      </c>
      <c r="X197" s="224" t="s">
        <v>210</v>
      </c>
      <c r="Y197" s="224" t="s">
        <v>205</v>
      </c>
    </row>
    <row r="198" spans="1:25" x14ac:dyDescent="0.25">
      <c r="A198" s="86"/>
      <c r="B198" s="36" t="s">
        <v>0</v>
      </c>
      <c r="C198" s="31"/>
      <c r="D198" s="27"/>
      <c r="E198" s="28"/>
      <c r="F198" s="34" t="str">
        <f t="shared" si="14"/>
        <v/>
      </c>
      <c r="H198" s="12" t="s">
        <v>239</v>
      </c>
      <c r="I198" s="223">
        <v>4</v>
      </c>
      <c r="J198" s="223">
        <v>4.3499999999999996</v>
      </c>
      <c r="K198" s="223"/>
      <c r="L198" s="223"/>
      <c r="M198">
        <v>0.1</v>
      </c>
      <c r="N198">
        <f>M198*J198*I198</f>
        <v>1.74</v>
      </c>
      <c r="O198">
        <f>1.231*J198*I198</f>
        <v>21.4194</v>
      </c>
      <c r="P198" s="223">
        <v>16</v>
      </c>
      <c r="Q198" s="223">
        <v>4</v>
      </c>
      <c r="R198">
        <f>(J198+0.2)*Q198*I198</f>
        <v>72.8</v>
      </c>
      <c r="S198">
        <f>(R198*(P198*P198))/162</f>
        <v>115.04197530864197</v>
      </c>
      <c r="U198" s="223">
        <v>1</v>
      </c>
      <c r="V198" s="223">
        <v>0.15</v>
      </c>
      <c r="W198">
        <f>(J198*I198*U198)/V198</f>
        <v>116</v>
      </c>
      <c r="X198">
        <f>0.898*W198</f>
        <v>104.16800000000001</v>
      </c>
      <c r="Y198">
        <f>((6*6)*X198)/162</f>
        <v>23.148444444444447</v>
      </c>
    </row>
    <row r="199" spans="1:25" x14ac:dyDescent="0.25">
      <c r="A199" s="60"/>
      <c r="B199" s="90" t="s">
        <v>125</v>
      </c>
      <c r="C199" s="31">
        <f>+Y198</f>
        <v>23.148444444444447</v>
      </c>
      <c r="D199" s="27" t="s">
        <v>212</v>
      </c>
      <c r="E199" s="28"/>
      <c r="F199" s="34">
        <f t="shared" si="14"/>
        <v>0</v>
      </c>
      <c r="H199" s="12" t="s">
        <v>211</v>
      </c>
      <c r="I199" s="223"/>
      <c r="J199" s="223">
        <v>3.85</v>
      </c>
      <c r="K199" s="223">
        <v>0.2</v>
      </c>
      <c r="L199" s="223">
        <v>0.2</v>
      </c>
      <c r="M199">
        <f>L199*K199</f>
        <v>4.0000000000000008E-2</v>
      </c>
      <c r="N199">
        <f>M199*J199*I199</f>
        <v>0</v>
      </c>
      <c r="O199">
        <f>(((J199*K199)+(J199*L199))*2)*I199</f>
        <v>0</v>
      </c>
      <c r="P199" s="223">
        <v>12</v>
      </c>
      <c r="Q199" s="223">
        <v>4</v>
      </c>
      <c r="R199">
        <f>(J199+0.2)*Q199*I199</f>
        <v>0</v>
      </c>
      <c r="S199">
        <f>(R199*(P199*P199))/162</f>
        <v>0</v>
      </c>
      <c r="U199" s="223">
        <v>1</v>
      </c>
      <c r="V199" s="223">
        <v>0.15</v>
      </c>
      <c r="W199">
        <f>(J199*I199*U199)/V199</f>
        <v>0</v>
      </c>
      <c r="X199">
        <f>(((K199-0.045)+(L199-0.045))*2)*W199</f>
        <v>0</v>
      </c>
      <c r="Y199">
        <f>((6*6)*X199)/162</f>
        <v>0</v>
      </c>
    </row>
    <row r="200" spans="1:25" x14ac:dyDescent="0.25">
      <c r="A200" s="60"/>
      <c r="B200" s="90" t="str">
        <f>CONCATENATE("Steel deformed bars, ",P198," mm dia")</f>
        <v>Steel deformed bars, 16 mm dia</v>
      </c>
      <c r="C200" s="31">
        <f>+S198</f>
        <v>115.04197530864197</v>
      </c>
      <c r="D200" s="27" t="s">
        <v>212</v>
      </c>
      <c r="E200" s="28"/>
      <c r="F200" s="34">
        <f t="shared" si="14"/>
        <v>0</v>
      </c>
    </row>
    <row r="201" spans="1:25" x14ac:dyDescent="0.25">
      <c r="A201" s="60"/>
      <c r="B201" s="90" t="str">
        <f>IF(I199="","",CONCATENATE("Steel deformed bars, ",P199," mm dia"))</f>
        <v/>
      </c>
      <c r="C201" s="31" t="str">
        <f>IF(I199="","",S199)</f>
        <v/>
      </c>
      <c r="D201" s="27" t="str">
        <f>IF(I199="","","kg")</f>
        <v/>
      </c>
      <c r="E201" s="28"/>
      <c r="F201" s="34" t="str">
        <f t="shared" si="14"/>
        <v/>
      </c>
    </row>
    <row r="202" spans="1:25" x14ac:dyDescent="0.25">
      <c r="A202" s="60"/>
      <c r="B202" s="90" t="s">
        <v>98</v>
      </c>
      <c r="C202" s="31">
        <v>1</v>
      </c>
      <c r="D202" s="27" t="s">
        <v>124</v>
      </c>
      <c r="E202" s="28"/>
      <c r="F202" s="34">
        <f t="shared" si="14"/>
        <v>0</v>
      </c>
    </row>
    <row r="203" spans="1:25" x14ac:dyDescent="0.25">
      <c r="A203" s="60"/>
      <c r="B203" s="90"/>
      <c r="C203" s="31"/>
      <c r="D203" s="27"/>
      <c r="E203" s="28"/>
      <c r="F203" s="34" t="str">
        <f t="shared" si="14"/>
        <v/>
      </c>
    </row>
    <row r="204" spans="1:25" x14ac:dyDescent="0.25">
      <c r="A204" s="60"/>
      <c r="B204" s="88" t="s">
        <v>1</v>
      </c>
      <c r="C204" s="31"/>
      <c r="D204" s="27"/>
      <c r="E204" s="28"/>
      <c r="F204" s="34" t="str">
        <f t="shared" si="14"/>
        <v/>
      </c>
    </row>
    <row r="205" spans="1:25" ht="38.25" x14ac:dyDescent="0.25">
      <c r="A205" s="60"/>
      <c r="B205" s="2" t="s">
        <v>99</v>
      </c>
      <c r="C205" s="225">
        <f>+O198</f>
        <v>21.4194</v>
      </c>
      <c r="D205" s="226" t="s">
        <v>23</v>
      </c>
      <c r="E205" s="28"/>
      <c r="F205" s="34">
        <f t="shared" si="14"/>
        <v>0</v>
      </c>
    </row>
    <row r="206" spans="1:25" x14ac:dyDescent="0.25">
      <c r="A206" s="60"/>
      <c r="B206" s="90"/>
      <c r="C206" s="31"/>
      <c r="D206" s="27"/>
      <c r="E206" s="17"/>
      <c r="F206" s="34" t="str">
        <f t="shared" si="14"/>
        <v/>
      </c>
    </row>
    <row r="207" spans="1:25" x14ac:dyDescent="0.25">
      <c r="A207" s="86"/>
      <c r="B207" s="227" t="str">
        <f>CONCATENATE("Column ",H209)</f>
        <v>Column C2a</v>
      </c>
      <c r="C207" s="31"/>
      <c r="D207" s="27"/>
      <c r="E207" s="17"/>
      <c r="F207" s="34" t="str">
        <f t="shared" si="14"/>
        <v/>
      </c>
      <c r="H207" s="12"/>
      <c r="I207" t="s">
        <v>122</v>
      </c>
      <c r="P207" t="s">
        <v>198</v>
      </c>
    </row>
    <row r="208" spans="1:25" ht="15.75" x14ac:dyDescent="0.25">
      <c r="A208" s="60"/>
      <c r="B208" s="2" t="s">
        <v>123</v>
      </c>
      <c r="C208" s="31">
        <f>+N209</f>
        <v>6.4727999999999994</v>
      </c>
      <c r="D208" s="27" t="s">
        <v>83</v>
      </c>
      <c r="E208" s="28"/>
      <c r="F208" s="34">
        <f t="shared" si="14"/>
        <v>0</v>
      </c>
      <c r="H208" s="12"/>
      <c r="I208" s="12" t="s">
        <v>10</v>
      </c>
      <c r="J208" s="12" t="s">
        <v>199</v>
      </c>
      <c r="K208" s="12" t="s">
        <v>200</v>
      </c>
      <c r="L208" s="12" t="s">
        <v>27</v>
      </c>
      <c r="M208" s="12" t="s">
        <v>21</v>
      </c>
      <c r="N208" s="12" t="s">
        <v>201</v>
      </c>
      <c r="O208" t="s">
        <v>202</v>
      </c>
      <c r="P208" t="s">
        <v>203</v>
      </c>
      <c r="Q208" s="223" t="s">
        <v>10</v>
      </c>
      <c r="R208" s="224" t="s">
        <v>204</v>
      </c>
      <c r="S208" s="224" t="s">
        <v>205</v>
      </c>
      <c r="T208" s="224" t="s">
        <v>206</v>
      </c>
      <c r="U208" s="224" t="s">
        <v>207</v>
      </c>
      <c r="V208" s="224" t="s">
        <v>208</v>
      </c>
      <c r="W208" s="224" t="s">
        <v>209</v>
      </c>
      <c r="X208" s="224" t="s">
        <v>210</v>
      </c>
      <c r="Y208" s="224" t="s">
        <v>205</v>
      </c>
    </row>
    <row r="209" spans="1:25" x14ac:dyDescent="0.25">
      <c r="A209" s="86"/>
      <c r="B209" s="36" t="s">
        <v>0</v>
      </c>
      <c r="C209" s="31"/>
      <c r="D209" s="27"/>
      <c r="E209" s="28"/>
      <c r="F209" s="34" t="str">
        <f t="shared" si="14"/>
        <v/>
      </c>
      <c r="H209" s="12" t="s">
        <v>240</v>
      </c>
      <c r="I209" s="223">
        <v>4</v>
      </c>
      <c r="J209" s="223">
        <v>4.3499999999999996</v>
      </c>
      <c r="K209" s="223"/>
      <c r="L209" s="223"/>
      <c r="M209">
        <v>0.372</v>
      </c>
      <c r="N209">
        <f>M209*J209*I209</f>
        <v>6.4727999999999994</v>
      </c>
      <c r="O209">
        <f>3.191*J209*I209</f>
        <v>55.523399999999995</v>
      </c>
      <c r="P209" s="223">
        <v>20</v>
      </c>
      <c r="Q209" s="223">
        <v>4</v>
      </c>
      <c r="R209">
        <f>(J209+0.2)*Q209*I209</f>
        <v>72.8</v>
      </c>
      <c r="S209">
        <f>(R209*(P209*P209))/162</f>
        <v>179.75308641975309</v>
      </c>
      <c r="U209" s="223">
        <v>1</v>
      </c>
      <c r="V209" s="223">
        <v>0.15</v>
      </c>
      <c r="W209">
        <f>(J209*I209*U209)/V209</f>
        <v>116</v>
      </c>
      <c r="X209">
        <f>0.898*W209</f>
        <v>104.16800000000001</v>
      </c>
      <c r="Y209">
        <f>((6*6)*X209)/162</f>
        <v>23.148444444444447</v>
      </c>
    </row>
    <row r="210" spans="1:25" x14ac:dyDescent="0.25">
      <c r="A210" s="60"/>
      <c r="B210" s="90" t="s">
        <v>125</v>
      </c>
      <c r="C210" s="31">
        <f>+Y209</f>
        <v>23.148444444444447</v>
      </c>
      <c r="D210" s="27" t="s">
        <v>212</v>
      </c>
      <c r="E210" s="28"/>
      <c r="F210" s="34">
        <f t="shared" si="14"/>
        <v>0</v>
      </c>
      <c r="H210" s="12" t="s">
        <v>211</v>
      </c>
      <c r="I210" s="223"/>
      <c r="J210" s="223">
        <v>3.85</v>
      </c>
      <c r="K210" s="223">
        <v>0.2</v>
      </c>
      <c r="L210" s="223">
        <v>0.2</v>
      </c>
      <c r="M210">
        <f>L210*K210</f>
        <v>4.0000000000000008E-2</v>
      </c>
      <c r="N210">
        <f>M210*J210*I210</f>
        <v>0</v>
      </c>
      <c r="O210">
        <f>(((J210*K210)+(J210*L210))*2)*I210</f>
        <v>0</v>
      </c>
      <c r="P210" s="223">
        <v>12</v>
      </c>
      <c r="Q210" s="223">
        <v>4</v>
      </c>
      <c r="R210">
        <f>(J210+0.2)*Q210*I210</f>
        <v>0</v>
      </c>
      <c r="S210">
        <f>(R210*(P210*P210))/162</f>
        <v>0</v>
      </c>
      <c r="U210" s="223">
        <v>1</v>
      </c>
      <c r="V210" s="223">
        <v>0.15</v>
      </c>
      <c r="W210">
        <f>(J210*I210*U210)/V210</f>
        <v>0</v>
      </c>
      <c r="X210">
        <f>(((K210-0.045)+(L210-0.045))*2)*W210</f>
        <v>0</v>
      </c>
      <c r="Y210">
        <f>((6*6)*X210)/162</f>
        <v>0</v>
      </c>
    </row>
    <row r="211" spans="1:25" x14ac:dyDescent="0.25">
      <c r="A211" s="60"/>
      <c r="B211" s="90" t="str">
        <f>CONCATENATE("Steel deformed bars, ",P209," mm dia")</f>
        <v>Steel deformed bars, 20 mm dia</v>
      </c>
      <c r="C211" s="31">
        <f>+S209</f>
        <v>179.75308641975309</v>
      </c>
      <c r="D211" s="27" t="s">
        <v>212</v>
      </c>
      <c r="E211" s="28"/>
      <c r="F211" s="34">
        <f t="shared" si="14"/>
        <v>0</v>
      </c>
    </row>
    <row r="212" spans="1:25" x14ac:dyDescent="0.25">
      <c r="A212" s="60"/>
      <c r="B212" s="90" t="str">
        <f>IF(I210="","",CONCATENATE("Steel deformed bars, ",P210," mm dia"))</f>
        <v/>
      </c>
      <c r="C212" s="31" t="str">
        <f>IF(I210="","",S210)</f>
        <v/>
      </c>
      <c r="D212" s="27" t="str">
        <f>IF(I210="","","kg")</f>
        <v/>
      </c>
      <c r="E212" s="28"/>
      <c r="F212" s="34" t="str">
        <f t="shared" si="14"/>
        <v/>
      </c>
    </row>
    <row r="213" spans="1:25" x14ac:dyDescent="0.25">
      <c r="A213" s="60"/>
      <c r="B213" s="90" t="s">
        <v>98</v>
      </c>
      <c r="C213" s="31">
        <v>1</v>
      </c>
      <c r="D213" s="27" t="s">
        <v>124</v>
      </c>
      <c r="E213" s="28"/>
      <c r="F213" s="34">
        <f t="shared" si="14"/>
        <v>0</v>
      </c>
    </row>
    <row r="214" spans="1:25" x14ac:dyDescent="0.25">
      <c r="A214" s="60"/>
      <c r="B214" s="90"/>
      <c r="C214" s="31"/>
      <c r="D214" s="27"/>
      <c r="E214" s="28"/>
      <c r="F214" s="34" t="str">
        <f t="shared" si="14"/>
        <v/>
      </c>
    </row>
    <row r="215" spans="1:25" x14ac:dyDescent="0.25">
      <c r="A215" s="60"/>
      <c r="B215" s="88" t="s">
        <v>1</v>
      </c>
      <c r="C215" s="31"/>
      <c r="D215" s="27"/>
      <c r="E215" s="28"/>
      <c r="F215" s="34" t="str">
        <f t="shared" si="14"/>
        <v/>
      </c>
    </row>
    <row r="216" spans="1:25" ht="38.25" x14ac:dyDescent="0.25">
      <c r="A216" s="60"/>
      <c r="B216" s="2" t="s">
        <v>99</v>
      </c>
      <c r="C216" s="225">
        <f>+O209</f>
        <v>55.523399999999995</v>
      </c>
      <c r="D216" s="226" t="s">
        <v>23</v>
      </c>
      <c r="E216" s="28"/>
      <c r="F216" s="34">
        <f t="shared" si="14"/>
        <v>0</v>
      </c>
    </row>
    <row r="217" spans="1:25" x14ac:dyDescent="0.25">
      <c r="A217" s="60"/>
      <c r="B217" s="90"/>
      <c r="C217" s="31"/>
      <c r="D217" s="27"/>
      <c r="E217" s="17"/>
      <c r="F217" s="34" t="str">
        <f t="shared" si="14"/>
        <v/>
      </c>
    </row>
    <row r="218" spans="1:25" x14ac:dyDescent="0.25">
      <c r="A218" s="86"/>
      <c r="B218" s="227" t="str">
        <f>CONCATENATE("Column ",H220)</f>
        <v>Column C3</v>
      </c>
      <c r="C218" s="31"/>
      <c r="D218" s="27"/>
      <c r="E218" s="17"/>
      <c r="F218" s="34" t="str">
        <f t="shared" si="14"/>
        <v/>
      </c>
      <c r="H218" s="12"/>
      <c r="I218" t="s">
        <v>122</v>
      </c>
      <c r="P218" t="s">
        <v>198</v>
      </c>
    </row>
    <row r="219" spans="1:25" ht="15.75" x14ac:dyDescent="0.25">
      <c r="A219" s="60"/>
      <c r="B219" s="2" t="s">
        <v>123</v>
      </c>
      <c r="C219" s="31">
        <f>+N220</f>
        <v>1.74</v>
      </c>
      <c r="D219" s="27" t="s">
        <v>83</v>
      </c>
      <c r="E219" s="28"/>
      <c r="F219" s="34">
        <f t="shared" si="14"/>
        <v>0</v>
      </c>
      <c r="H219" s="12"/>
      <c r="I219" s="12" t="s">
        <v>10</v>
      </c>
      <c r="J219" s="12" t="s">
        <v>199</v>
      </c>
      <c r="K219" s="12" t="s">
        <v>200</v>
      </c>
      <c r="L219" s="12" t="s">
        <v>27</v>
      </c>
      <c r="M219" s="12" t="s">
        <v>21</v>
      </c>
      <c r="N219" s="12" t="s">
        <v>201</v>
      </c>
      <c r="O219" t="s">
        <v>202</v>
      </c>
      <c r="P219" t="s">
        <v>203</v>
      </c>
      <c r="Q219" s="223" t="s">
        <v>10</v>
      </c>
      <c r="R219" s="224" t="s">
        <v>204</v>
      </c>
      <c r="S219" s="224" t="s">
        <v>205</v>
      </c>
      <c r="T219" s="224" t="s">
        <v>206</v>
      </c>
      <c r="U219" s="224" t="s">
        <v>207</v>
      </c>
      <c r="V219" s="224" t="s">
        <v>208</v>
      </c>
      <c r="W219" s="224" t="s">
        <v>209</v>
      </c>
      <c r="X219" s="224" t="s">
        <v>210</v>
      </c>
      <c r="Y219" s="224" t="s">
        <v>205</v>
      </c>
    </row>
    <row r="220" spans="1:25" x14ac:dyDescent="0.25">
      <c r="A220" s="86"/>
      <c r="B220" s="36" t="s">
        <v>0</v>
      </c>
      <c r="C220" s="31"/>
      <c r="D220" s="27"/>
      <c r="E220" s="28"/>
      <c r="F220" s="34" t="str">
        <f t="shared" si="14"/>
        <v/>
      </c>
      <c r="H220" s="12" t="s">
        <v>238</v>
      </c>
      <c r="I220" s="223">
        <v>4</v>
      </c>
      <c r="J220" s="223">
        <v>4.3499999999999996</v>
      </c>
      <c r="K220" s="223"/>
      <c r="L220" s="223"/>
      <c r="M220">
        <v>0.1</v>
      </c>
      <c r="N220">
        <f>M220*J220*I220</f>
        <v>1.74</v>
      </c>
      <c r="O220">
        <f>1.231*J220*I220</f>
        <v>21.4194</v>
      </c>
      <c r="P220" s="223">
        <v>16</v>
      </c>
      <c r="Q220" s="223">
        <v>4</v>
      </c>
      <c r="R220">
        <f>(J220+0.2)*Q220*I220</f>
        <v>72.8</v>
      </c>
      <c r="S220">
        <f>(R220*(P220*P220))/162</f>
        <v>115.04197530864197</v>
      </c>
      <c r="U220" s="223">
        <v>1</v>
      </c>
      <c r="V220" s="223">
        <v>0.15</v>
      </c>
      <c r="W220">
        <f>(J220*I220*U220)/V220</f>
        <v>116</v>
      </c>
      <c r="X220">
        <f>0.898*W220</f>
        <v>104.16800000000001</v>
      </c>
      <c r="Y220">
        <f>((6*6)*X220)/162</f>
        <v>23.148444444444447</v>
      </c>
    </row>
    <row r="221" spans="1:25" x14ac:dyDescent="0.25">
      <c r="A221" s="60"/>
      <c r="B221" s="90" t="s">
        <v>125</v>
      </c>
      <c r="C221" s="31">
        <f>+Y220</f>
        <v>23.148444444444447</v>
      </c>
      <c r="D221" s="27" t="s">
        <v>212</v>
      </c>
      <c r="E221" s="28"/>
      <c r="F221" s="34">
        <f t="shared" si="14"/>
        <v>0</v>
      </c>
      <c r="H221" s="12" t="s">
        <v>211</v>
      </c>
      <c r="I221" s="223"/>
      <c r="J221" s="223">
        <v>3.85</v>
      </c>
      <c r="K221" s="223">
        <v>0.2</v>
      </c>
      <c r="L221" s="223">
        <v>0.2</v>
      </c>
      <c r="M221">
        <f>L221*K221</f>
        <v>4.0000000000000008E-2</v>
      </c>
      <c r="N221">
        <f>M221*J221*I221</f>
        <v>0</v>
      </c>
      <c r="O221">
        <f>(((J221*K221)+(J221*L221))*2)*I221</f>
        <v>0</v>
      </c>
      <c r="P221" s="223">
        <v>12</v>
      </c>
      <c r="Q221" s="223">
        <v>4</v>
      </c>
      <c r="R221">
        <f>(J221+0.2)*Q221*I221</f>
        <v>0</v>
      </c>
      <c r="S221">
        <f>(R221*(P221*P221))/162</f>
        <v>0</v>
      </c>
      <c r="U221" s="223">
        <v>1</v>
      </c>
      <c r="V221" s="223">
        <v>0.15</v>
      </c>
      <c r="W221">
        <f>(J221*I221*U221)/V221</f>
        <v>0</v>
      </c>
      <c r="X221">
        <f>(((K221-0.045)+(L221-0.045))*2)*W221</f>
        <v>0</v>
      </c>
      <c r="Y221">
        <f>((6*6)*X221)/162</f>
        <v>0</v>
      </c>
    </row>
    <row r="222" spans="1:25" x14ac:dyDescent="0.25">
      <c r="A222" s="60"/>
      <c r="B222" s="90" t="str">
        <f>CONCATENATE("Steel deformed bars, ",P220," mm dia")</f>
        <v>Steel deformed bars, 16 mm dia</v>
      </c>
      <c r="C222" s="31">
        <f>+S220</f>
        <v>115.04197530864197</v>
      </c>
      <c r="D222" s="27" t="s">
        <v>212</v>
      </c>
      <c r="E222" s="28"/>
      <c r="F222" s="34">
        <f t="shared" si="14"/>
        <v>0</v>
      </c>
    </row>
    <row r="223" spans="1:25" x14ac:dyDescent="0.25">
      <c r="A223" s="60"/>
      <c r="B223" s="90" t="str">
        <f>IF(I221="","",CONCATENATE("Steel deformed bars, ",P221," mm dia"))</f>
        <v/>
      </c>
      <c r="C223" s="31" t="str">
        <f>IF(I221="","",S221)</f>
        <v/>
      </c>
      <c r="D223" s="27" t="str">
        <f>IF(I221="","","kg")</f>
        <v/>
      </c>
      <c r="E223" s="28"/>
      <c r="F223" s="34" t="str">
        <f t="shared" si="14"/>
        <v/>
      </c>
    </row>
    <row r="224" spans="1:25" x14ac:dyDescent="0.25">
      <c r="A224" s="60"/>
      <c r="B224" s="90" t="s">
        <v>98</v>
      </c>
      <c r="C224" s="31">
        <v>1</v>
      </c>
      <c r="D224" s="27" t="s">
        <v>124</v>
      </c>
      <c r="E224" s="28"/>
      <c r="F224" s="34">
        <f t="shared" si="14"/>
        <v>0</v>
      </c>
    </row>
    <row r="225" spans="1:25" x14ac:dyDescent="0.25">
      <c r="A225" s="60"/>
      <c r="B225" s="90"/>
      <c r="C225" s="31"/>
      <c r="D225" s="27"/>
      <c r="E225" s="28"/>
      <c r="F225" s="34" t="str">
        <f t="shared" si="14"/>
        <v/>
      </c>
    </row>
    <row r="226" spans="1:25" x14ac:dyDescent="0.25">
      <c r="A226" s="60"/>
      <c r="B226" s="88" t="s">
        <v>1</v>
      </c>
      <c r="C226" s="31"/>
      <c r="D226" s="27"/>
      <c r="E226" s="28"/>
      <c r="F226" s="34" t="str">
        <f t="shared" si="14"/>
        <v/>
      </c>
    </row>
    <row r="227" spans="1:25" ht="38.25" x14ac:dyDescent="0.25">
      <c r="A227" s="60"/>
      <c r="B227" s="2" t="s">
        <v>99</v>
      </c>
      <c r="C227" s="225">
        <f>+O220</f>
        <v>21.4194</v>
      </c>
      <c r="D227" s="226" t="s">
        <v>23</v>
      </c>
      <c r="E227" s="28"/>
      <c r="F227" s="34">
        <f t="shared" si="14"/>
        <v>0</v>
      </c>
    </row>
    <row r="228" spans="1:25" x14ac:dyDescent="0.25">
      <c r="A228" s="60"/>
      <c r="B228" s="90"/>
      <c r="C228" s="31"/>
      <c r="D228" s="27"/>
      <c r="E228" s="17"/>
      <c r="F228" s="34" t="str">
        <f t="shared" si="14"/>
        <v/>
      </c>
    </row>
    <row r="229" spans="1:25" x14ac:dyDescent="0.25">
      <c r="A229" s="86"/>
      <c r="B229" s="227" t="str">
        <f>CONCATENATE("Column ",H231)</f>
        <v>Column C3a</v>
      </c>
      <c r="C229" s="31"/>
      <c r="D229" s="27"/>
      <c r="E229" s="17"/>
      <c r="F229" s="34" t="str">
        <f t="shared" si="14"/>
        <v/>
      </c>
      <c r="H229" s="12"/>
      <c r="I229" t="s">
        <v>122</v>
      </c>
      <c r="P229" t="s">
        <v>198</v>
      </c>
    </row>
    <row r="230" spans="1:25" ht="15.75" x14ac:dyDescent="0.25">
      <c r="A230" s="60"/>
      <c r="B230" s="2" t="s">
        <v>123</v>
      </c>
      <c r="C230" s="31">
        <f>+N231</f>
        <v>6.4727999999999994</v>
      </c>
      <c r="D230" s="27" t="s">
        <v>83</v>
      </c>
      <c r="E230" s="28"/>
      <c r="F230" s="34">
        <f t="shared" si="14"/>
        <v>0</v>
      </c>
      <c r="H230" s="12"/>
      <c r="I230" s="12" t="s">
        <v>10</v>
      </c>
      <c r="J230" s="12" t="s">
        <v>199</v>
      </c>
      <c r="K230" s="12" t="s">
        <v>200</v>
      </c>
      <c r="L230" s="12" t="s">
        <v>27</v>
      </c>
      <c r="M230" s="12" t="s">
        <v>21</v>
      </c>
      <c r="N230" s="12" t="s">
        <v>201</v>
      </c>
      <c r="O230" t="s">
        <v>202</v>
      </c>
      <c r="P230" t="s">
        <v>203</v>
      </c>
      <c r="Q230" s="223" t="s">
        <v>10</v>
      </c>
      <c r="R230" s="224" t="s">
        <v>204</v>
      </c>
      <c r="S230" s="224" t="s">
        <v>205</v>
      </c>
      <c r="T230" s="224" t="s">
        <v>206</v>
      </c>
      <c r="U230" s="224" t="s">
        <v>207</v>
      </c>
      <c r="V230" s="224" t="s">
        <v>208</v>
      </c>
      <c r="W230" s="224" t="s">
        <v>209</v>
      </c>
      <c r="X230" s="224" t="s">
        <v>210</v>
      </c>
      <c r="Y230" s="224" t="s">
        <v>205</v>
      </c>
    </row>
    <row r="231" spans="1:25" x14ac:dyDescent="0.25">
      <c r="A231" s="86"/>
      <c r="B231" s="36" t="s">
        <v>0</v>
      </c>
      <c r="C231" s="31"/>
      <c r="D231" s="27"/>
      <c r="E231" s="28"/>
      <c r="F231" s="34" t="str">
        <f t="shared" si="14"/>
        <v/>
      </c>
      <c r="H231" s="12" t="s">
        <v>237</v>
      </c>
      <c r="I231" s="223">
        <v>4</v>
      </c>
      <c r="J231" s="223">
        <v>4.3499999999999996</v>
      </c>
      <c r="K231" s="223"/>
      <c r="L231" s="223"/>
      <c r="M231">
        <v>0.372</v>
      </c>
      <c r="N231">
        <f>M231*J231*I231</f>
        <v>6.4727999999999994</v>
      </c>
      <c r="O231">
        <f>3.191*J231*I231</f>
        <v>55.523399999999995</v>
      </c>
      <c r="P231" s="223">
        <v>20</v>
      </c>
      <c r="Q231" s="223">
        <v>4</v>
      </c>
      <c r="R231">
        <f>(J231+0.2)*Q231*I231</f>
        <v>72.8</v>
      </c>
      <c r="S231">
        <f>(R231*(P231*P231))/162</f>
        <v>179.75308641975309</v>
      </c>
      <c r="U231" s="223">
        <v>1</v>
      </c>
      <c r="V231" s="223">
        <v>0.15</v>
      </c>
      <c r="W231">
        <f>(J231*I231*U231)/V231</f>
        <v>116</v>
      </c>
      <c r="X231">
        <f>0.898*W231</f>
        <v>104.16800000000001</v>
      </c>
      <c r="Y231">
        <f>((6*6)*X231)/162</f>
        <v>23.148444444444447</v>
      </c>
    </row>
    <row r="232" spans="1:25" x14ac:dyDescent="0.25">
      <c r="A232" s="60"/>
      <c r="B232" s="90" t="s">
        <v>125</v>
      </c>
      <c r="C232" s="31">
        <f>+Y231</f>
        <v>23.148444444444447</v>
      </c>
      <c r="D232" s="27" t="s">
        <v>212</v>
      </c>
      <c r="E232" s="28"/>
      <c r="F232" s="34">
        <f t="shared" si="14"/>
        <v>0</v>
      </c>
      <c r="H232" s="12" t="s">
        <v>211</v>
      </c>
      <c r="I232" s="223"/>
      <c r="J232" s="223">
        <v>3.85</v>
      </c>
      <c r="K232" s="223">
        <v>0.2</v>
      </c>
      <c r="L232" s="223">
        <v>0.2</v>
      </c>
      <c r="M232">
        <f>L232*K232</f>
        <v>4.0000000000000008E-2</v>
      </c>
      <c r="N232">
        <f>M232*J232*I232</f>
        <v>0</v>
      </c>
      <c r="O232">
        <f>(((J232*K232)+(J232*L232))*2)*I232</f>
        <v>0</v>
      </c>
      <c r="P232" s="223">
        <v>12</v>
      </c>
      <c r="Q232" s="223">
        <v>4</v>
      </c>
      <c r="R232">
        <f>(J232+0.2)*Q232*I232</f>
        <v>0</v>
      </c>
      <c r="S232">
        <f>(R232*(P232*P232))/162</f>
        <v>0</v>
      </c>
      <c r="U232" s="223">
        <v>1</v>
      </c>
      <c r="V232" s="223">
        <v>0.15</v>
      </c>
      <c r="W232">
        <f>(J232*I232*U232)/V232</f>
        <v>0</v>
      </c>
      <c r="X232">
        <f>(((K232-0.045)+(L232-0.045))*2)*W232</f>
        <v>0</v>
      </c>
      <c r="Y232">
        <f>((6*6)*X232)/162</f>
        <v>0</v>
      </c>
    </row>
    <row r="233" spans="1:25" x14ac:dyDescent="0.25">
      <c r="A233" s="60"/>
      <c r="B233" s="90" t="str">
        <f>CONCATENATE("Steel deformed bars, ",P231," mm dia")</f>
        <v>Steel deformed bars, 20 mm dia</v>
      </c>
      <c r="C233" s="31">
        <f>+S231</f>
        <v>179.75308641975309</v>
      </c>
      <c r="D233" s="27" t="s">
        <v>212</v>
      </c>
      <c r="E233" s="28"/>
      <c r="F233" s="34">
        <f t="shared" si="14"/>
        <v>0</v>
      </c>
    </row>
    <row r="234" spans="1:25" x14ac:dyDescent="0.25">
      <c r="A234" s="60"/>
      <c r="B234" s="90" t="str">
        <f>IF(I232="","",CONCATENATE("Steel deformed bars, ",P232," mm dia"))</f>
        <v/>
      </c>
      <c r="C234" s="31" t="str">
        <f>IF(I232="","",S232)</f>
        <v/>
      </c>
      <c r="D234" s="27" t="str">
        <f>IF(I232="","","kg")</f>
        <v/>
      </c>
      <c r="E234" s="28"/>
      <c r="F234" s="34" t="str">
        <f t="shared" si="14"/>
        <v/>
      </c>
    </row>
    <row r="235" spans="1:25" x14ac:dyDescent="0.25">
      <c r="A235" s="60"/>
      <c r="B235" s="90" t="s">
        <v>98</v>
      </c>
      <c r="C235" s="31">
        <v>1</v>
      </c>
      <c r="D235" s="27" t="s">
        <v>124</v>
      </c>
      <c r="E235" s="28"/>
      <c r="F235" s="34">
        <f t="shared" si="14"/>
        <v>0</v>
      </c>
    </row>
    <row r="236" spans="1:25" x14ac:dyDescent="0.25">
      <c r="A236" s="60"/>
      <c r="B236" s="90"/>
      <c r="C236" s="31"/>
      <c r="D236" s="27"/>
      <c r="E236" s="28"/>
      <c r="F236" s="34" t="str">
        <f t="shared" si="14"/>
        <v/>
      </c>
    </row>
    <row r="237" spans="1:25" x14ac:dyDescent="0.25">
      <c r="A237" s="60"/>
      <c r="B237" s="88" t="s">
        <v>1</v>
      </c>
      <c r="C237" s="31"/>
      <c r="D237" s="27"/>
      <c r="E237" s="28"/>
      <c r="F237" s="34" t="str">
        <f t="shared" si="14"/>
        <v/>
      </c>
    </row>
    <row r="238" spans="1:25" ht="38.25" x14ac:dyDescent="0.25">
      <c r="A238" s="60"/>
      <c r="B238" s="2" t="s">
        <v>99</v>
      </c>
      <c r="C238" s="225">
        <f>+O231</f>
        <v>55.523399999999995</v>
      </c>
      <c r="D238" s="226" t="s">
        <v>23</v>
      </c>
      <c r="E238" s="28"/>
      <c r="F238" s="34">
        <f t="shared" si="14"/>
        <v>0</v>
      </c>
    </row>
    <row r="239" spans="1:25" x14ac:dyDescent="0.25">
      <c r="A239" s="60"/>
      <c r="B239" s="2"/>
      <c r="C239" s="31"/>
      <c r="D239" s="27"/>
      <c r="E239" s="28"/>
      <c r="F239" s="34" t="str">
        <f>IF(E239="",IF(C239="","",C239*E239),C239*E239)</f>
        <v/>
      </c>
    </row>
    <row r="240" spans="1:25" x14ac:dyDescent="0.25">
      <c r="A240" s="86"/>
      <c r="B240" s="14" t="s">
        <v>246</v>
      </c>
      <c r="C240" s="27"/>
      <c r="D240" s="27"/>
      <c r="E240" s="28"/>
      <c r="F240" s="34" t="str">
        <f t="shared" ref="F240:F258" si="15">IF(E240="",IF(C240="","",C240*E240),C240*E240)</f>
        <v/>
      </c>
    </row>
    <row r="241" spans="1:26" ht="15.75" x14ac:dyDescent="0.25">
      <c r="A241" s="60"/>
      <c r="B241" s="2" t="s">
        <v>123</v>
      </c>
      <c r="C241" s="31">
        <f>L244</f>
        <v>9.1987199999999998</v>
      </c>
      <c r="D241" s="27" t="s">
        <v>83</v>
      </c>
      <c r="E241" s="28"/>
      <c r="F241" s="34">
        <f t="shared" si="15"/>
        <v>0</v>
      </c>
    </row>
    <row r="242" spans="1:26" x14ac:dyDescent="0.25">
      <c r="A242" s="86"/>
      <c r="B242" s="36" t="s">
        <v>0</v>
      </c>
      <c r="C242" s="31"/>
      <c r="D242" s="27"/>
      <c r="E242" s="28"/>
      <c r="F242" s="34" t="str">
        <f t="shared" si="15"/>
        <v/>
      </c>
      <c r="P242" t="s">
        <v>219</v>
      </c>
    </row>
    <row r="243" spans="1:26" x14ac:dyDescent="0.25">
      <c r="A243" s="60"/>
      <c r="B243" s="90" t="s">
        <v>252</v>
      </c>
      <c r="C243" s="31">
        <f>Z244</f>
        <v>1094.0041481481483</v>
      </c>
      <c r="D243" s="27" t="s">
        <v>157</v>
      </c>
      <c r="E243" s="28"/>
      <c r="F243" s="34">
        <f t="shared" si="15"/>
        <v>0</v>
      </c>
      <c r="I243" t="s">
        <v>204</v>
      </c>
      <c r="J243" t="s">
        <v>27</v>
      </c>
      <c r="K243" t="s">
        <v>200</v>
      </c>
      <c r="L243" t="s">
        <v>218</v>
      </c>
      <c r="M243" t="s">
        <v>222</v>
      </c>
      <c r="P243" t="s">
        <v>220</v>
      </c>
      <c r="Q243" t="s">
        <v>10</v>
      </c>
      <c r="R243" t="s">
        <v>221</v>
      </c>
      <c r="S243" t="s">
        <v>205</v>
      </c>
      <c r="U243" s="224" t="s">
        <v>206</v>
      </c>
      <c r="V243" s="224" t="s">
        <v>207</v>
      </c>
      <c r="W243" s="224" t="s">
        <v>208</v>
      </c>
      <c r="X243" s="224" t="s">
        <v>209</v>
      </c>
      <c r="Y243" s="224" t="s">
        <v>210</v>
      </c>
      <c r="Z243" s="224" t="s">
        <v>205</v>
      </c>
    </row>
    <row r="244" spans="1:26" x14ac:dyDescent="0.25">
      <c r="A244" s="60"/>
      <c r="B244" s="90" t="s">
        <v>253</v>
      </c>
      <c r="C244" s="31">
        <f>S244</f>
        <v>2820.9116809116813</v>
      </c>
      <c r="D244" s="27" t="s">
        <v>157</v>
      </c>
      <c r="E244" s="28"/>
      <c r="F244" s="34">
        <f t="shared" si="15"/>
        <v>0</v>
      </c>
      <c r="I244" s="236">
        <f>19.164*2</f>
        <v>38.328000000000003</v>
      </c>
      <c r="J244" s="236">
        <v>0.8</v>
      </c>
      <c r="K244" s="236">
        <v>0.3</v>
      </c>
      <c r="L244" s="237">
        <f>K244*J244*I244</f>
        <v>9.1987199999999998</v>
      </c>
      <c r="M244">
        <f>(J244+J244+K244)*I244</f>
        <v>72.823200000000014</v>
      </c>
      <c r="P244" s="236">
        <v>25</v>
      </c>
      <c r="Q244" s="236">
        <v>16</v>
      </c>
      <c r="R244">
        <f>((((I244/5.2)*(40*P244))/1000)+I244)*Q244</f>
        <v>731.18030769230779</v>
      </c>
      <c r="S244">
        <f>((R244*(P244*P244))/162)</f>
        <v>2820.9116809116813</v>
      </c>
      <c r="V244" s="223">
        <v>1</v>
      </c>
      <c r="W244" s="223">
        <v>0.15</v>
      </c>
      <c r="X244">
        <f>(I244*V244)/W244</f>
        <v>255.52000000000004</v>
      </c>
      <c r="Y244">
        <f>(1.734*4)*X244</f>
        <v>1772.2867200000003</v>
      </c>
      <c r="Z244">
        <f>((10*10)*Y244)/162</f>
        <v>1094.0041481481483</v>
      </c>
    </row>
    <row r="245" spans="1:26" x14ac:dyDescent="0.25">
      <c r="A245" s="60"/>
      <c r="B245" s="90" t="s">
        <v>251</v>
      </c>
      <c r="C245" s="31">
        <f>S245</f>
        <v>272.08876125356124</v>
      </c>
      <c r="D245" s="27" t="s">
        <v>157</v>
      </c>
      <c r="E245" s="28"/>
      <c r="F245" s="34">
        <f t="shared" ref="F245" si="16">IF(E245="",IF(C245="","",C245*E245),C245*E245)</f>
        <v>0</v>
      </c>
      <c r="I245" s="236">
        <f>19.164*2</f>
        <v>38.328000000000003</v>
      </c>
      <c r="J245" s="236">
        <v>0.3</v>
      </c>
      <c r="K245" s="236">
        <v>0.2</v>
      </c>
      <c r="L245" s="237">
        <f>K245*J245*I245</f>
        <v>2.2996799999999999</v>
      </c>
      <c r="M245">
        <f>(J245+J245+K245)*I245</f>
        <v>30.662400000000005</v>
      </c>
      <c r="P245" s="236">
        <v>16</v>
      </c>
      <c r="Q245" s="236">
        <v>4</v>
      </c>
      <c r="R245">
        <f>((((I245/5.2)*(40*P245))/1000)+I245)*Q245</f>
        <v>172.18116923076923</v>
      </c>
      <c r="S245">
        <f>((R245*(P245*P245))/162)</f>
        <v>272.08876125356124</v>
      </c>
      <c r="V245" s="223">
        <v>1</v>
      </c>
      <c r="W245" s="223">
        <v>0.15</v>
      </c>
      <c r="X245">
        <f>(I245*V245)/W245</f>
        <v>255.52000000000004</v>
      </c>
      <c r="Y245">
        <f>(1.734*4)*X245</f>
        <v>1772.2867200000003</v>
      </c>
      <c r="Z245">
        <f>((6*6)*Y245)/162</f>
        <v>393.8414933333334</v>
      </c>
    </row>
    <row r="246" spans="1:26" x14ac:dyDescent="0.25">
      <c r="A246" s="60"/>
      <c r="B246" s="90" t="s">
        <v>98</v>
      </c>
      <c r="C246" s="31">
        <v>1</v>
      </c>
      <c r="D246" s="27" t="s">
        <v>124</v>
      </c>
      <c r="E246" s="28"/>
      <c r="F246" s="34">
        <f t="shared" si="15"/>
        <v>0</v>
      </c>
    </row>
    <row r="247" spans="1:26" x14ac:dyDescent="0.25">
      <c r="A247" s="60"/>
      <c r="B247" s="88" t="s">
        <v>1</v>
      </c>
      <c r="C247" s="31"/>
      <c r="D247" s="27"/>
      <c r="E247" s="28"/>
      <c r="F247" s="34" t="str">
        <f t="shared" si="15"/>
        <v/>
      </c>
    </row>
    <row r="248" spans="1:26" ht="43.5" customHeight="1" x14ac:dyDescent="0.25">
      <c r="A248" s="60"/>
      <c r="B248" s="2" t="s">
        <v>99</v>
      </c>
      <c r="C248" s="31">
        <f>M244</f>
        <v>72.823200000000014</v>
      </c>
      <c r="D248" s="27" t="s">
        <v>23</v>
      </c>
      <c r="E248" s="28"/>
      <c r="F248" s="34">
        <f t="shared" si="15"/>
        <v>0</v>
      </c>
    </row>
    <row r="249" spans="1:26" x14ac:dyDescent="0.25">
      <c r="A249" s="86"/>
      <c r="B249" s="14" t="s">
        <v>247</v>
      </c>
      <c r="C249" s="27"/>
      <c r="D249" s="27"/>
      <c r="E249" s="28"/>
      <c r="F249" s="34" t="str">
        <f t="shared" si="15"/>
        <v/>
      </c>
    </row>
    <row r="250" spans="1:26" ht="15.75" x14ac:dyDescent="0.25">
      <c r="A250" s="60"/>
      <c r="B250" s="2" t="s">
        <v>123</v>
      </c>
      <c r="C250" s="31">
        <f>L253</f>
        <v>2.2993200000000003</v>
      </c>
      <c r="D250" s="27" t="s">
        <v>83</v>
      </c>
      <c r="E250" s="28"/>
      <c r="F250" s="34">
        <f t="shared" si="15"/>
        <v>0</v>
      </c>
    </row>
    <row r="251" spans="1:26" x14ac:dyDescent="0.25">
      <c r="A251" s="86"/>
      <c r="B251" s="36" t="s">
        <v>0</v>
      </c>
      <c r="C251" s="31"/>
      <c r="D251" s="27"/>
      <c r="E251" s="28"/>
      <c r="F251" s="34" t="str">
        <f t="shared" si="15"/>
        <v/>
      </c>
      <c r="P251" t="s">
        <v>219</v>
      </c>
    </row>
    <row r="252" spans="1:26" x14ac:dyDescent="0.25">
      <c r="A252" s="60"/>
      <c r="B252" s="90" t="s">
        <v>252</v>
      </c>
      <c r="C252" s="31">
        <f>Z253</f>
        <v>1093.8328888888889</v>
      </c>
      <c r="D252" s="27" t="s">
        <v>157</v>
      </c>
      <c r="E252" s="28"/>
      <c r="F252" s="34">
        <f t="shared" si="15"/>
        <v>0</v>
      </c>
      <c r="I252" t="s">
        <v>204</v>
      </c>
      <c r="J252" t="s">
        <v>27</v>
      </c>
      <c r="K252" t="s">
        <v>200</v>
      </c>
      <c r="L252" t="s">
        <v>218</v>
      </c>
      <c r="M252" t="s">
        <v>222</v>
      </c>
      <c r="P252" t="s">
        <v>220</v>
      </c>
      <c r="Q252" t="s">
        <v>10</v>
      </c>
      <c r="R252" t="s">
        <v>221</v>
      </c>
      <c r="S252" t="s">
        <v>205</v>
      </c>
      <c r="U252" s="224" t="s">
        <v>206</v>
      </c>
      <c r="V252" s="224" t="s">
        <v>207</v>
      </c>
      <c r="W252" s="224" t="s">
        <v>208</v>
      </c>
      <c r="X252" s="224" t="s">
        <v>209</v>
      </c>
      <c r="Y252" s="224" t="s">
        <v>210</v>
      </c>
      <c r="Z252" s="224" t="s">
        <v>205</v>
      </c>
    </row>
    <row r="253" spans="1:26" x14ac:dyDescent="0.25">
      <c r="A253" s="60"/>
      <c r="B253" s="90" t="s">
        <v>250</v>
      </c>
      <c r="C253" s="31">
        <f>S253</f>
        <v>1410.2350427350427</v>
      </c>
      <c r="D253" s="27" t="s">
        <v>157</v>
      </c>
      <c r="E253" s="28"/>
      <c r="F253" s="34">
        <f t="shared" si="15"/>
        <v>0</v>
      </c>
      <c r="I253" s="236">
        <f>19.161*2</f>
        <v>38.322000000000003</v>
      </c>
      <c r="J253" s="236">
        <v>0.3</v>
      </c>
      <c r="K253" s="236">
        <v>0.2</v>
      </c>
      <c r="L253" s="237">
        <f>K253*J253*I253</f>
        <v>2.2993200000000003</v>
      </c>
      <c r="M253">
        <f>(J253+J253+K253)*I253</f>
        <v>30.657600000000002</v>
      </c>
      <c r="P253" s="236">
        <v>25</v>
      </c>
      <c r="Q253" s="236">
        <v>8</v>
      </c>
      <c r="R253">
        <f>((((I253/5.2)*(40*P253))/1000)+I253)*Q253</f>
        <v>365.53292307692311</v>
      </c>
      <c r="S253">
        <f>((R253*(P253*P253))/162)</f>
        <v>1410.2350427350427</v>
      </c>
      <c r="V253" s="223">
        <v>1</v>
      </c>
      <c r="W253" s="223">
        <v>0.15</v>
      </c>
      <c r="X253">
        <f>(I253*V253)/W253</f>
        <v>255.48000000000002</v>
      </c>
      <c r="Y253">
        <f>(1.734*4)*X253</f>
        <v>1772.0092800000002</v>
      </c>
      <c r="Z253">
        <f>((10*10)*Y253)/162</f>
        <v>1093.8328888888889</v>
      </c>
    </row>
    <row r="254" spans="1:26" x14ac:dyDescent="0.25">
      <c r="A254" s="60"/>
      <c r="B254" s="90" t="s">
        <v>236</v>
      </c>
      <c r="C254" s="31">
        <f>S254</f>
        <v>873.57264957264965</v>
      </c>
      <c r="D254" s="27" t="s">
        <v>157</v>
      </c>
      <c r="E254" s="28"/>
      <c r="F254" s="34">
        <f t="shared" si="15"/>
        <v>0</v>
      </c>
      <c r="I254" s="236">
        <f>19.164*2</f>
        <v>38.328000000000003</v>
      </c>
      <c r="J254" s="236">
        <v>0.3</v>
      </c>
      <c r="K254" s="236">
        <v>0.2</v>
      </c>
      <c r="L254" s="237">
        <f>K254*J254*I254</f>
        <v>2.2996799999999999</v>
      </c>
      <c r="M254">
        <f>(J254+J254+K254)*I254</f>
        <v>30.662400000000005</v>
      </c>
      <c r="P254" s="236">
        <v>20</v>
      </c>
      <c r="Q254" s="236">
        <v>8</v>
      </c>
      <c r="R254">
        <f>((((I254/5.2)*(40*P254))/1000)+I254)*Q254</f>
        <v>353.79692307692312</v>
      </c>
      <c r="S254">
        <f>((R254*(P254*P254))/162)</f>
        <v>873.57264957264965</v>
      </c>
      <c r="V254" s="223">
        <v>1</v>
      </c>
      <c r="W254" s="223">
        <v>0.15</v>
      </c>
      <c r="X254">
        <f>(I254*V254)/W254</f>
        <v>255.52000000000004</v>
      </c>
      <c r="Y254">
        <f t="shared" ref="Y254:Y255" si="17">(1.734*4)*X254</f>
        <v>1772.2867200000003</v>
      </c>
      <c r="Z254">
        <f>((6*6)*Y254)/162</f>
        <v>393.8414933333334</v>
      </c>
    </row>
    <row r="255" spans="1:26" x14ac:dyDescent="0.25">
      <c r="A255" s="60"/>
      <c r="B255" s="90" t="s">
        <v>251</v>
      </c>
      <c r="C255" s="31">
        <f>S255</f>
        <v>272.08876125356124</v>
      </c>
      <c r="D255" s="27" t="s">
        <v>157</v>
      </c>
      <c r="E255" s="28"/>
      <c r="F255" s="34">
        <f t="shared" ref="F255" si="18">IF(E255="",IF(C255="","",C255*E255),C255*E255)</f>
        <v>0</v>
      </c>
      <c r="I255" s="236">
        <f>19.164*2</f>
        <v>38.328000000000003</v>
      </c>
      <c r="J255" s="236">
        <v>0.3</v>
      </c>
      <c r="K255" s="236">
        <v>0.2</v>
      </c>
      <c r="L255" s="237">
        <f>K255*J255*I255</f>
        <v>2.2996799999999999</v>
      </c>
      <c r="M255">
        <f>(J255+J255+K255)*I255</f>
        <v>30.662400000000005</v>
      </c>
      <c r="P255" s="236">
        <v>16</v>
      </c>
      <c r="Q255" s="236">
        <v>4</v>
      </c>
      <c r="R255">
        <f>((((I255/5.2)*(40*P255))/1000)+I255)*Q255</f>
        <v>172.18116923076923</v>
      </c>
      <c r="S255">
        <f>((R255*(P255*P255))/162)</f>
        <v>272.08876125356124</v>
      </c>
      <c r="V255" s="223">
        <v>1</v>
      </c>
      <c r="W255" s="223">
        <v>0.15</v>
      </c>
      <c r="X255">
        <f>(I255*V255)/W255</f>
        <v>255.52000000000004</v>
      </c>
      <c r="Y255">
        <f t="shared" si="17"/>
        <v>1772.2867200000003</v>
      </c>
      <c r="Z255">
        <f>((6*6)*Y255)/162</f>
        <v>393.8414933333334</v>
      </c>
    </row>
    <row r="256" spans="1:26" x14ac:dyDescent="0.25">
      <c r="A256" s="60"/>
      <c r="B256" s="90" t="s">
        <v>98</v>
      </c>
      <c r="C256" s="31">
        <v>1</v>
      </c>
      <c r="D256" s="27" t="s">
        <v>124</v>
      </c>
      <c r="E256" s="28"/>
      <c r="F256" s="34">
        <f t="shared" si="15"/>
        <v>0</v>
      </c>
    </row>
    <row r="257" spans="1:26" x14ac:dyDescent="0.25">
      <c r="A257" s="60"/>
      <c r="B257" s="88" t="s">
        <v>1</v>
      </c>
      <c r="C257" s="31"/>
      <c r="D257" s="27"/>
      <c r="E257" s="28"/>
      <c r="F257" s="34" t="str">
        <f t="shared" si="15"/>
        <v/>
      </c>
    </row>
    <row r="258" spans="1:26" ht="43.5" customHeight="1" x14ac:dyDescent="0.25">
      <c r="A258" s="60"/>
      <c r="B258" s="2" t="s">
        <v>99</v>
      </c>
      <c r="C258" s="31">
        <f>M253</f>
        <v>30.657600000000002</v>
      </c>
      <c r="D258" s="27" t="s">
        <v>23</v>
      </c>
      <c r="E258" s="28"/>
      <c r="F258" s="34">
        <f t="shared" si="15"/>
        <v>0</v>
      </c>
    </row>
    <row r="259" spans="1:26" x14ac:dyDescent="0.25">
      <c r="A259" s="60"/>
      <c r="B259" s="2"/>
      <c r="C259" s="31"/>
      <c r="D259" s="27"/>
      <c r="E259" s="28"/>
      <c r="F259" s="34" t="str">
        <f>IF(E259="",IF(C259="","",C259*E259),C259*E259)</f>
        <v/>
      </c>
    </row>
    <row r="260" spans="1:26" x14ac:dyDescent="0.25">
      <c r="A260" s="60"/>
      <c r="B260" s="2"/>
      <c r="C260" s="31"/>
      <c r="D260" s="27"/>
      <c r="E260" s="28"/>
      <c r="F260" s="34" t="str">
        <f>IF(E260="",IF(C260="","",C260*E260),C260*E260)</f>
        <v/>
      </c>
    </row>
    <row r="261" spans="1:26" x14ac:dyDescent="0.25">
      <c r="A261" s="86"/>
      <c r="B261" s="14" t="s">
        <v>248</v>
      </c>
      <c r="C261" s="27"/>
      <c r="D261" s="27"/>
      <c r="E261" s="28"/>
      <c r="F261" s="34" t="str">
        <f t="shared" ref="F261:F270" si="19">IF(E261="",IF(C261="","",C261*E261),C261*E261)</f>
        <v/>
      </c>
    </row>
    <row r="262" spans="1:26" ht="15.75" x14ac:dyDescent="0.25">
      <c r="A262" s="60"/>
      <c r="B262" s="2" t="s">
        <v>123</v>
      </c>
      <c r="C262" s="31">
        <f>L265</f>
        <v>15.671040000000001</v>
      </c>
      <c r="D262" s="27" t="s">
        <v>83</v>
      </c>
      <c r="E262" s="28"/>
      <c r="F262" s="34">
        <f t="shared" si="19"/>
        <v>0</v>
      </c>
    </row>
    <row r="263" spans="1:26" x14ac:dyDescent="0.25">
      <c r="A263" s="86"/>
      <c r="B263" s="36" t="s">
        <v>0</v>
      </c>
      <c r="C263" s="31"/>
      <c r="D263" s="27"/>
      <c r="E263" s="28"/>
      <c r="F263" s="34" t="str">
        <f t="shared" si="19"/>
        <v/>
      </c>
      <c r="P263" t="s">
        <v>219</v>
      </c>
    </row>
    <row r="264" spans="1:26" x14ac:dyDescent="0.25">
      <c r="A264" s="60"/>
      <c r="B264" s="90" t="s">
        <v>2</v>
      </c>
      <c r="C264" s="31">
        <f>Z265</f>
        <v>179.4430814814815</v>
      </c>
      <c r="D264" s="27" t="s">
        <v>157</v>
      </c>
      <c r="E264" s="28"/>
      <c r="F264" s="34">
        <f t="shared" si="19"/>
        <v>0</v>
      </c>
      <c r="I264" t="s">
        <v>204</v>
      </c>
      <c r="J264" t="s">
        <v>27</v>
      </c>
      <c r="K264" t="s">
        <v>200</v>
      </c>
      <c r="L264" t="s">
        <v>218</v>
      </c>
      <c r="M264" t="s">
        <v>222</v>
      </c>
      <c r="P264" t="s">
        <v>220</v>
      </c>
      <c r="Q264" t="s">
        <v>10</v>
      </c>
      <c r="R264" t="s">
        <v>221</v>
      </c>
      <c r="S264" t="s">
        <v>205</v>
      </c>
      <c r="U264" s="224" t="s">
        <v>206</v>
      </c>
      <c r="V264" s="224" t="s">
        <v>207</v>
      </c>
      <c r="W264" s="224" t="s">
        <v>208</v>
      </c>
      <c r="X264" s="224" t="s">
        <v>209</v>
      </c>
      <c r="Y264" s="224" t="s">
        <v>210</v>
      </c>
      <c r="Z264" s="224" t="s">
        <v>205</v>
      </c>
    </row>
    <row r="265" spans="1:26" x14ac:dyDescent="0.25">
      <c r="A265" s="60"/>
      <c r="B265" s="90" t="s">
        <v>236</v>
      </c>
      <c r="C265" s="31">
        <f>S265</f>
        <v>744.11396011396016</v>
      </c>
      <c r="D265" s="27" t="s">
        <v>157</v>
      </c>
      <c r="E265" s="28"/>
      <c r="F265" s="34">
        <f t="shared" si="19"/>
        <v>0</v>
      </c>
      <c r="I265" s="236">
        <v>65.296000000000006</v>
      </c>
      <c r="J265" s="236">
        <v>0.8</v>
      </c>
      <c r="K265" s="236">
        <v>0.3</v>
      </c>
      <c r="L265" s="237">
        <f>K265*J265*I265</f>
        <v>15.671040000000001</v>
      </c>
      <c r="M265">
        <f>(J265+J265+K265)*I265</f>
        <v>124.06240000000003</v>
      </c>
      <c r="P265" s="236">
        <v>20</v>
      </c>
      <c r="Q265" s="236">
        <v>4</v>
      </c>
      <c r="R265">
        <f>((((I265/5.2)*(40*P265))/1000)+I265)*Q265</f>
        <v>301.36615384615385</v>
      </c>
      <c r="S265">
        <f>((R265*(P265*P265))/162)</f>
        <v>744.11396011396016</v>
      </c>
      <c r="V265" s="223">
        <v>1</v>
      </c>
      <c r="W265" s="223">
        <v>0.15</v>
      </c>
      <c r="X265">
        <f>(I265*V265)/W265</f>
        <v>435.30666666666673</v>
      </c>
      <c r="Y265">
        <f>(1.855)*X265</f>
        <v>807.4938666666668</v>
      </c>
      <c r="Z265">
        <f>((6*6)*Y265)/162</f>
        <v>179.4430814814815</v>
      </c>
    </row>
    <row r="266" spans="1:26" x14ac:dyDescent="0.25">
      <c r="A266" s="60"/>
      <c r="B266" s="90" t="s">
        <v>251</v>
      </c>
      <c r="C266" s="31">
        <f>S266</f>
        <v>272.08876125356124</v>
      </c>
      <c r="D266" s="27" t="s">
        <v>157</v>
      </c>
      <c r="E266" s="28"/>
      <c r="F266" s="34">
        <f t="shared" si="19"/>
        <v>0</v>
      </c>
      <c r="I266" s="236">
        <f>19.164*2</f>
        <v>38.328000000000003</v>
      </c>
      <c r="J266" s="236">
        <v>0.3</v>
      </c>
      <c r="K266" s="236">
        <v>0.2</v>
      </c>
      <c r="L266" s="237">
        <f>K266*J266*I266</f>
        <v>2.2996799999999999</v>
      </c>
      <c r="M266">
        <f>(J266+J266+K266)*I266</f>
        <v>30.662400000000005</v>
      </c>
      <c r="P266" s="236">
        <v>16</v>
      </c>
      <c r="Q266" s="236">
        <v>4</v>
      </c>
      <c r="R266">
        <f>((((I266/5.2)*(40*P266))/1000)+I266)*Q266</f>
        <v>172.18116923076923</v>
      </c>
      <c r="S266">
        <f>((R266*(P266*P266))/162)</f>
        <v>272.08876125356124</v>
      </c>
      <c r="V266" s="223">
        <v>1</v>
      </c>
      <c r="W266" s="223">
        <v>0.15</v>
      </c>
      <c r="X266">
        <f>(I266*V266)/W266</f>
        <v>255.52000000000004</v>
      </c>
      <c r="Y266">
        <f t="shared" ref="Y266:Y267" si="20">(1.734*4)*X266</f>
        <v>1772.2867200000003</v>
      </c>
      <c r="Z266">
        <f>((6*6)*Y266)/162</f>
        <v>393.8414933333334</v>
      </c>
    </row>
    <row r="267" spans="1:26" x14ac:dyDescent="0.25">
      <c r="A267" s="60"/>
      <c r="B267" s="90" t="s">
        <v>3</v>
      </c>
      <c r="C267" s="31">
        <f>S267</f>
        <v>148.85677948717949</v>
      </c>
      <c r="D267" s="27" t="s">
        <v>157</v>
      </c>
      <c r="E267" s="28"/>
      <c r="F267" s="34">
        <f t="shared" ref="F267" si="21">IF(E267="",IF(C267="","",C267*E267),C267*E267)</f>
        <v>0</v>
      </c>
      <c r="I267" s="236">
        <f>19.164*2</f>
        <v>38.328000000000003</v>
      </c>
      <c r="J267" s="236">
        <v>0.3</v>
      </c>
      <c r="K267" s="236">
        <v>0.2</v>
      </c>
      <c r="L267" s="237">
        <f>K267*J267*I267</f>
        <v>2.2996799999999999</v>
      </c>
      <c r="M267">
        <f>(J267+J267+K267)*I267</f>
        <v>30.662400000000005</v>
      </c>
      <c r="P267" s="236">
        <v>12</v>
      </c>
      <c r="Q267" s="236">
        <v>4</v>
      </c>
      <c r="R267">
        <f>((((I267/5.2)*(40*P267))/1000)+I267)*Q267</f>
        <v>167.46387692307692</v>
      </c>
      <c r="S267">
        <f>((R267*(P267*P267))/162)</f>
        <v>148.85677948717949</v>
      </c>
      <c r="V267" s="223">
        <v>1</v>
      </c>
      <c r="W267" s="223">
        <v>0.15</v>
      </c>
      <c r="X267">
        <f>(I267*V267)/W267</f>
        <v>255.52000000000004</v>
      </c>
      <c r="Y267">
        <f t="shared" si="20"/>
        <v>1772.2867200000003</v>
      </c>
      <c r="Z267">
        <f>((6*6)*Y267)/162</f>
        <v>393.8414933333334</v>
      </c>
    </row>
    <row r="268" spans="1:26" x14ac:dyDescent="0.25">
      <c r="A268" s="60"/>
      <c r="B268" s="90" t="s">
        <v>98</v>
      </c>
      <c r="C268" s="31">
        <v>1</v>
      </c>
      <c r="D268" s="27" t="s">
        <v>124</v>
      </c>
      <c r="E268" s="28"/>
      <c r="F268" s="34">
        <f t="shared" si="19"/>
        <v>0</v>
      </c>
    </row>
    <row r="269" spans="1:26" x14ac:dyDescent="0.25">
      <c r="A269" s="60"/>
      <c r="B269" s="88" t="s">
        <v>1</v>
      </c>
      <c r="C269" s="31"/>
      <c r="D269" s="27"/>
      <c r="E269" s="28"/>
      <c r="F269" s="34" t="str">
        <f t="shared" si="19"/>
        <v/>
      </c>
    </row>
    <row r="270" spans="1:26" ht="43.5" customHeight="1" x14ac:dyDescent="0.25">
      <c r="A270" s="60"/>
      <c r="B270" s="2" t="s">
        <v>99</v>
      </c>
      <c r="C270" s="31">
        <f>M265</f>
        <v>124.06240000000003</v>
      </c>
      <c r="D270" s="27" t="s">
        <v>23</v>
      </c>
      <c r="E270" s="28"/>
      <c r="F270" s="34">
        <f t="shared" si="19"/>
        <v>0</v>
      </c>
    </row>
    <row r="271" spans="1:26" x14ac:dyDescent="0.25">
      <c r="A271" s="60"/>
      <c r="B271" s="2"/>
      <c r="C271" s="31"/>
      <c r="D271" s="27"/>
      <c r="E271" s="28"/>
      <c r="F271" s="34" t="str">
        <f>IF(E271="",IF(C271="","",C271*E271),C271*E271)</f>
        <v/>
      </c>
    </row>
    <row r="272" spans="1:26" x14ac:dyDescent="0.25">
      <c r="A272" s="86"/>
      <c r="B272" s="14" t="s">
        <v>249</v>
      </c>
      <c r="C272" s="27"/>
      <c r="D272" s="27"/>
      <c r="E272" s="28"/>
      <c r="F272" s="34" t="str">
        <f t="shared" ref="F272:F280" si="22">IF(E272="",IF(C272="","",C272*E272),C272*E272)</f>
        <v/>
      </c>
    </row>
    <row r="273" spans="1:26" ht="15.75" x14ac:dyDescent="0.25">
      <c r="A273" s="60"/>
      <c r="B273" s="2" t="s">
        <v>123</v>
      </c>
      <c r="C273" s="31">
        <f>L276</f>
        <v>7.7373000000000012</v>
      </c>
      <c r="D273" s="27" t="s">
        <v>83</v>
      </c>
      <c r="E273" s="28"/>
      <c r="F273" s="34">
        <f t="shared" si="22"/>
        <v>0</v>
      </c>
    </row>
    <row r="274" spans="1:26" x14ac:dyDescent="0.25">
      <c r="A274" s="86"/>
      <c r="B274" s="36" t="s">
        <v>0</v>
      </c>
      <c r="C274" s="31"/>
      <c r="D274" s="27"/>
      <c r="E274" s="28"/>
      <c r="F274" s="34" t="str">
        <f t="shared" si="22"/>
        <v/>
      </c>
      <c r="P274" t="s">
        <v>219</v>
      </c>
    </row>
    <row r="275" spans="1:26" x14ac:dyDescent="0.25">
      <c r="A275" s="60"/>
      <c r="B275" s="90" t="s">
        <v>2</v>
      </c>
      <c r="C275" s="31">
        <f>Z276</f>
        <v>290.23471999999998</v>
      </c>
      <c r="D275" s="27" t="s">
        <v>157</v>
      </c>
      <c r="E275" s="28"/>
      <c r="F275" s="34">
        <f t="shared" si="22"/>
        <v>0</v>
      </c>
      <c r="I275" t="s">
        <v>204</v>
      </c>
      <c r="J275" t="s">
        <v>27</v>
      </c>
      <c r="K275" t="s">
        <v>200</v>
      </c>
      <c r="L275" t="s">
        <v>218</v>
      </c>
      <c r="M275" t="s">
        <v>222</v>
      </c>
      <c r="P275" t="s">
        <v>220</v>
      </c>
      <c r="Q275" t="s">
        <v>10</v>
      </c>
      <c r="R275" t="s">
        <v>221</v>
      </c>
      <c r="S275" t="s">
        <v>205</v>
      </c>
      <c r="U275" s="224" t="s">
        <v>206</v>
      </c>
      <c r="V275" s="224" t="s">
        <v>207</v>
      </c>
      <c r="W275" s="224" t="s">
        <v>208</v>
      </c>
      <c r="X275" s="224" t="s">
        <v>209</v>
      </c>
      <c r="Y275" s="224" t="s">
        <v>210</v>
      </c>
      <c r="Z275" s="224" t="s">
        <v>205</v>
      </c>
    </row>
    <row r="276" spans="1:26" x14ac:dyDescent="0.25">
      <c r="A276" s="60"/>
      <c r="B276" s="90" t="s">
        <v>236</v>
      </c>
      <c r="C276" s="31">
        <f>S276</f>
        <v>1322.6153846153848</v>
      </c>
      <c r="D276" s="27" t="s">
        <v>157</v>
      </c>
      <c r="E276" s="28"/>
      <c r="F276" s="34">
        <f t="shared" si="22"/>
        <v>0</v>
      </c>
      <c r="I276" s="236">
        <v>77.373000000000005</v>
      </c>
      <c r="J276" s="236">
        <v>0.5</v>
      </c>
      <c r="K276" s="236">
        <v>0.2</v>
      </c>
      <c r="L276" s="237">
        <f>K276*J276*I276</f>
        <v>7.7373000000000012</v>
      </c>
      <c r="M276">
        <f>(J276+J276+K276)*I276</f>
        <v>92.8476</v>
      </c>
      <c r="P276" s="236">
        <v>20</v>
      </c>
      <c r="Q276" s="236">
        <v>6</v>
      </c>
      <c r="R276">
        <f>((((I276/5.2)*(40*P276))/1000)+I276)*Q276</f>
        <v>535.65923076923082</v>
      </c>
      <c r="S276">
        <f>((R276*(P276*P276))/162)</f>
        <v>1322.6153846153848</v>
      </c>
      <c r="V276" s="223">
        <v>2</v>
      </c>
      <c r="W276" s="223">
        <v>0.125</v>
      </c>
      <c r="X276">
        <f>(I276*V276)/W276</f>
        <v>1237.9680000000001</v>
      </c>
      <c r="Y276">
        <f>(1.055)*X276</f>
        <v>1306.0562399999999</v>
      </c>
      <c r="Z276">
        <f>((6*6)*Y276)/162</f>
        <v>290.23471999999998</v>
      </c>
    </row>
    <row r="277" spans="1:26" x14ac:dyDescent="0.25">
      <c r="A277" s="60"/>
      <c r="B277" s="90" t="s">
        <v>3</v>
      </c>
      <c r="C277" s="31">
        <f>S277</f>
        <v>150.24910769230769</v>
      </c>
      <c r="D277" s="27" t="s">
        <v>157</v>
      </c>
      <c r="E277" s="28"/>
      <c r="F277" s="34">
        <f t="shared" ref="F277" si="23">IF(E277="",IF(C277="","",C277*E277),C277*E277)</f>
        <v>0</v>
      </c>
      <c r="I277" s="236">
        <v>77.373000000000005</v>
      </c>
      <c r="J277" s="236">
        <v>0.3</v>
      </c>
      <c r="K277" s="236">
        <v>0.2</v>
      </c>
      <c r="L277" s="237">
        <f>K277*J277*I277</f>
        <v>4.6423800000000002</v>
      </c>
      <c r="M277">
        <f>(J277+J277+K277)*I277</f>
        <v>61.898400000000009</v>
      </c>
      <c r="P277" s="236">
        <v>12</v>
      </c>
      <c r="Q277" s="236">
        <v>2</v>
      </c>
      <c r="R277">
        <f>((((I277/5.2)*(40*P277))/1000)+I277)*Q277</f>
        <v>169.03024615384615</v>
      </c>
      <c r="S277">
        <f>((R277*(P277*P277))/162)</f>
        <v>150.24910769230769</v>
      </c>
      <c r="V277" s="223">
        <v>1</v>
      </c>
      <c r="W277" s="223">
        <v>0.15</v>
      </c>
      <c r="X277">
        <f>(I277*V277)/W277</f>
        <v>515.82000000000005</v>
      </c>
      <c r="Y277">
        <f>(((J277-0.045)+(K277-0.045))*2)*X277</f>
        <v>422.97240000000005</v>
      </c>
      <c r="Z277">
        <f>((6*6)*Y277)/162</f>
        <v>93.993866666666676</v>
      </c>
    </row>
    <row r="278" spans="1:26" x14ac:dyDescent="0.25">
      <c r="A278" s="60"/>
      <c r="B278" s="90" t="s">
        <v>98</v>
      </c>
      <c r="C278" s="31">
        <v>1</v>
      </c>
      <c r="D278" s="27" t="s">
        <v>124</v>
      </c>
      <c r="E278" s="28"/>
      <c r="F278" s="34">
        <f t="shared" si="22"/>
        <v>0</v>
      </c>
    </row>
    <row r="279" spans="1:26" x14ac:dyDescent="0.25">
      <c r="A279" s="60"/>
      <c r="B279" s="88" t="s">
        <v>1</v>
      </c>
      <c r="C279" s="31"/>
      <c r="D279" s="27"/>
      <c r="E279" s="28"/>
      <c r="F279" s="34" t="str">
        <f t="shared" si="22"/>
        <v/>
      </c>
    </row>
    <row r="280" spans="1:26" ht="43.5" customHeight="1" x14ac:dyDescent="0.25">
      <c r="A280" s="60"/>
      <c r="B280" s="2" t="s">
        <v>99</v>
      </c>
      <c r="C280" s="31">
        <f>M276</f>
        <v>92.8476</v>
      </c>
      <c r="D280" s="27" t="s">
        <v>23</v>
      </c>
      <c r="E280" s="28"/>
      <c r="F280" s="34">
        <f t="shared" si="22"/>
        <v>0</v>
      </c>
    </row>
    <row r="281" spans="1:26" x14ac:dyDescent="0.25">
      <c r="A281" s="60"/>
      <c r="B281" s="2"/>
      <c r="C281" s="31"/>
      <c r="D281" s="27"/>
      <c r="E281" s="28"/>
      <c r="F281" s="34" t="str">
        <f>IF(E281="",IF(C281="","",C281*E281),C281*E281)</f>
        <v/>
      </c>
    </row>
    <row r="282" spans="1:26" x14ac:dyDescent="0.25">
      <c r="A282" s="60"/>
      <c r="B282" s="2"/>
      <c r="C282" s="225"/>
      <c r="D282" s="226"/>
      <c r="E282" s="28"/>
      <c r="F282" s="34" t="str">
        <f t="shared" si="7"/>
        <v/>
      </c>
      <c r="J282">
        <v>172.65</v>
      </c>
      <c r="K282">
        <f>J282*0.15</f>
        <v>25.897500000000001</v>
      </c>
    </row>
    <row r="283" spans="1:26" ht="15.75" thickBot="1" x14ac:dyDescent="0.3">
      <c r="A283" s="199">
        <v>3.5</v>
      </c>
      <c r="B283" s="260" t="s">
        <v>63</v>
      </c>
      <c r="C283" s="261"/>
      <c r="D283" s="261"/>
      <c r="E283" s="261"/>
      <c r="F283" s="155">
        <f>SUM(F285:F336)</f>
        <v>0</v>
      </c>
      <c r="J283">
        <f>J282/30</f>
        <v>5.7549999999999999</v>
      </c>
    </row>
    <row r="284" spans="1:26" ht="15.75" thickTop="1" x14ac:dyDescent="0.25">
      <c r="A284" s="60"/>
      <c r="B284" s="2"/>
      <c r="C284" s="31"/>
      <c r="D284" s="27"/>
      <c r="E284" s="28"/>
      <c r="F284" s="34" t="str">
        <f>IF(E284="",IF(C284="","",C284*E284),C284*E284)</f>
        <v/>
      </c>
    </row>
    <row r="285" spans="1:26" x14ac:dyDescent="0.25">
      <c r="A285" s="86"/>
      <c r="B285" s="14" t="s">
        <v>245</v>
      </c>
      <c r="C285" s="27"/>
      <c r="D285" s="27"/>
      <c r="E285" s="17"/>
      <c r="F285" s="34" t="str">
        <f t="shared" ref="F285:F288" si="24">IF(E285="",IF(C285="","",C285*E285),C285*E285)</f>
        <v/>
      </c>
      <c r="J285">
        <f>30000/150</f>
        <v>200</v>
      </c>
      <c r="K285">
        <f>J285*5.755</f>
        <v>1151</v>
      </c>
      <c r="L285">
        <f>J286*((5.755/5.2)*(40*0.01))</f>
        <v>16.969871794871796</v>
      </c>
      <c r="M285">
        <f>K285+K286+L285+L286</f>
        <v>2779.5083333333332</v>
      </c>
      <c r="N285">
        <f>M285*2</f>
        <v>5559.0166666666664</v>
      </c>
      <c r="O285">
        <f>(N285*(10*10))/162</f>
        <v>3431.491769547325</v>
      </c>
    </row>
    <row r="286" spans="1:26" ht="15.75" x14ac:dyDescent="0.25">
      <c r="A286" s="60"/>
      <c r="B286" s="2" t="s">
        <v>122</v>
      </c>
      <c r="C286" s="31">
        <v>25.897500000000001</v>
      </c>
      <c r="D286" s="27" t="s">
        <v>83</v>
      </c>
      <c r="E286" s="17"/>
      <c r="F286" s="34">
        <f t="shared" si="24"/>
        <v>0</v>
      </c>
      <c r="J286">
        <f>5750/150</f>
        <v>38.333333333333336</v>
      </c>
      <c r="K286">
        <f>J286*30</f>
        <v>1150</v>
      </c>
      <c r="L286">
        <f>J285*((30/5.2)*(40*0.01))</f>
        <v>461.5384615384616</v>
      </c>
    </row>
    <row r="287" spans="1:26" x14ac:dyDescent="0.25">
      <c r="A287" s="86"/>
      <c r="B287" s="36" t="s">
        <v>0</v>
      </c>
      <c r="C287" s="31"/>
      <c r="D287" s="27"/>
      <c r="E287" s="17"/>
      <c r="F287" s="34" t="str">
        <f t="shared" si="24"/>
        <v/>
      </c>
    </row>
    <row r="288" spans="1:26" x14ac:dyDescent="0.25">
      <c r="A288" s="60"/>
      <c r="B288" s="90" t="s">
        <v>254</v>
      </c>
      <c r="C288" s="31">
        <v>1715.7460000000001</v>
      </c>
      <c r="D288" s="27" t="s">
        <v>157</v>
      </c>
      <c r="E288" s="17"/>
      <c r="F288" s="34">
        <f t="shared" si="24"/>
        <v>0</v>
      </c>
    </row>
    <row r="289" spans="1:26" x14ac:dyDescent="0.25">
      <c r="A289" s="60"/>
      <c r="B289" s="2"/>
      <c r="C289" s="31"/>
      <c r="D289" s="27"/>
      <c r="E289" s="28"/>
      <c r="F289" s="34" t="str">
        <f>IF(E289="",IF(C289="","",C289*E289),C289*E289)</f>
        <v/>
      </c>
    </row>
    <row r="290" spans="1:26" x14ac:dyDescent="0.25">
      <c r="A290" s="86"/>
      <c r="B290" s="14" t="s">
        <v>256</v>
      </c>
      <c r="C290" s="27"/>
      <c r="D290" s="27"/>
      <c r="E290" s="28"/>
      <c r="F290" s="34" t="str">
        <f t="shared" ref="F290:F308" si="25">IF(E290="",IF(C290="","",C290*E290),C290*E290)</f>
        <v/>
      </c>
    </row>
    <row r="291" spans="1:26" ht="15.75" x14ac:dyDescent="0.25">
      <c r="A291" s="60"/>
      <c r="B291" s="2" t="s">
        <v>123</v>
      </c>
      <c r="C291" s="31">
        <f>L294</f>
        <v>8.0488800000000005</v>
      </c>
      <c r="D291" s="27" t="s">
        <v>83</v>
      </c>
      <c r="E291" s="28"/>
      <c r="F291" s="34">
        <f t="shared" si="25"/>
        <v>0</v>
      </c>
    </row>
    <row r="292" spans="1:26" x14ac:dyDescent="0.25">
      <c r="A292" s="86"/>
      <c r="B292" s="36" t="s">
        <v>0</v>
      </c>
      <c r="C292" s="31"/>
      <c r="D292" s="27"/>
      <c r="E292" s="28"/>
      <c r="F292" s="34" t="str">
        <f t="shared" si="25"/>
        <v/>
      </c>
      <c r="P292" t="s">
        <v>219</v>
      </c>
    </row>
    <row r="293" spans="1:26" x14ac:dyDescent="0.25">
      <c r="A293" s="60"/>
      <c r="B293" s="90" t="s">
        <v>252</v>
      </c>
      <c r="C293" s="31">
        <f>Z294</f>
        <v>391.79733333333331</v>
      </c>
      <c r="D293" s="27" t="s">
        <v>157</v>
      </c>
      <c r="E293" s="28"/>
      <c r="F293" s="34">
        <f t="shared" si="25"/>
        <v>0</v>
      </c>
      <c r="I293" t="s">
        <v>204</v>
      </c>
      <c r="J293" t="s">
        <v>27</v>
      </c>
      <c r="K293" t="s">
        <v>200</v>
      </c>
      <c r="L293" t="s">
        <v>218</v>
      </c>
      <c r="M293" t="s">
        <v>222</v>
      </c>
      <c r="P293" t="s">
        <v>220</v>
      </c>
      <c r="Q293" t="s">
        <v>10</v>
      </c>
      <c r="R293" t="s">
        <v>221</v>
      </c>
      <c r="S293" t="s">
        <v>205</v>
      </c>
      <c r="U293" s="224" t="s">
        <v>206</v>
      </c>
      <c r="V293" s="224" t="s">
        <v>207</v>
      </c>
      <c r="W293" s="224" t="s">
        <v>208</v>
      </c>
      <c r="X293" s="224" t="s">
        <v>209</v>
      </c>
      <c r="Y293" s="224" t="s">
        <v>210</v>
      </c>
      <c r="Z293" s="224" t="s">
        <v>205</v>
      </c>
    </row>
    <row r="294" spans="1:26" x14ac:dyDescent="0.25">
      <c r="A294" s="60"/>
      <c r="B294" s="90" t="s">
        <v>253</v>
      </c>
      <c r="C294" s="31">
        <f>S294</f>
        <v>2115.6837606837607</v>
      </c>
      <c r="D294" s="27" t="s">
        <v>157</v>
      </c>
      <c r="E294" s="28"/>
      <c r="F294" s="34">
        <f t="shared" si="25"/>
        <v>0</v>
      </c>
      <c r="I294" s="236">
        <f>19.164*2</f>
        <v>38.328000000000003</v>
      </c>
      <c r="J294" s="236">
        <v>0.7</v>
      </c>
      <c r="K294" s="236">
        <v>0.3</v>
      </c>
      <c r="L294" s="237">
        <f>K294*J294*I294</f>
        <v>8.0488800000000005</v>
      </c>
      <c r="M294">
        <f>(J294+J294+K294)*I294</f>
        <v>65.157600000000002</v>
      </c>
      <c r="P294" s="236">
        <v>25</v>
      </c>
      <c r="Q294" s="236">
        <v>12</v>
      </c>
      <c r="R294">
        <f>((((I294/5.2)*(40*P294))/1000)+I294)*Q294</f>
        <v>548.38523076923082</v>
      </c>
      <c r="S294">
        <f>((R294*(P294*P294))/162)</f>
        <v>2115.6837606837607</v>
      </c>
      <c r="V294" s="223">
        <v>1</v>
      </c>
      <c r="W294" s="223">
        <v>0.1</v>
      </c>
      <c r="X294">
        <f>(I294*V294)/W294</f>
        <v>383.28000000000003</v>
      </c>
      <c r="Y294">
        <f>(1.656)*X294</f>
        <v>634.71168</v>
      </c>
      <c r="Z294">
        <f>((10*10)*Y294)/162</f>
        <v>391.79733333333331</v>
      </c>
    </row>
    <row r="295" spans="1:26" x14ac:dyDescent="0.25">
      <c r="A295" s="60"/>
      <c r="B295" s="90" t="s">
        <v>251</v>
      </c>
      <c r="C295" s="31">
        <f>S295</f>
        <v>272.08876125356124</v>
      </c>
      <c r="D295" s="27" t="s">
        <v>157</v>
      </c>
      <c r="E295" s="28"/>
      <c r="F295" s="34">
        <f t="shared" si="25"/>
        <v>0</v>
      </c>
      <c r="I295" s="236">
        <f>19.164*2</f>
        <v>38.328000000000003</v>
      </c>
      <c r="J295" s="236">
        <v>0.3</v>
      </c>
      <c r="K295" s="236">
        <v>0.2</v>
      </c>
      <c r="L295" s="237">
        <f>K295*J295*I295</f>
        <v>2.2996799999999999</v>
      </c>
      <c r="M295">
        <f>(J295+J295+K295)*I295</f>
        <v>30.662400000000005</v>
      </c>
      <c r="P295" s="236">
        <v>16</v>
      </c>
      <c r="Q295" s="236">
        <v>4</v>
      </c>
      <c r="R295">
        <f>((((I295/5.2)*(40*P295))/1000)+I295)*Q295</f>
        <v>172.18116923076923</v>
      </c>
      <c r="S295">
        <f>((R295*(P295*P295))/162)</f>
        <v>272.08876125356124</v>
      </c>
      <c r="V295" s="223">
        <v>1</v>
      </c>
      <c r="W295" s="223">
        <v>0.15</v>
      </c>
      <c r="X295">
        <f>(I295*V295)/W295</f>
        <v>255.52000000000004</v>
      </c>
      <c r="Y295">
        <f>(1.734*4)*X295</f>
        <v>1772.2867200000003</v>
      </c>
      <c r="Z295">
        <f>((6*6)*Y295)/162</f>
        <v>393.8414933333334</v>
      </c>
    </row>
    <row r="296" spans="1:26" x14ac:dyDescent="0.25">
      <c r="A296" s="60"/>
      <c r="B296" s="90" t="s">
        <v>98</v>
      </c>
      <c r="C296" s="31">
        <v>1</v>
      </c>
      <c r="D296" s="27" t="s">
        <v>124</v>
      </c>
      <c r="E296" s="28"/>
      <c r="F296" s="34">
        <f t="shared" si="25"/>
        <v>0</v>
      </c>
    </row>
    <row r="297" spans="1:26" x14ac:dyDescent="0.25">
      <c r="A297" s="60"/>
      <c r="B297" s="88" t="s">
        <v>1</v>
      </c>
      <c r="C297" s="31"/>
      <c r="D297" s="27"/>
      <c r="E297" s="28"/>
      <c r="F297" s="34" t="str">
        <f t="shared" si="25"/>
        <v/>
      </c>
    </row>
    <row r="298" spans="1:26" ht="43.5" customHeight="1" x14ac:dyDescent="0.25">
      <c r="A298" s="60"/>
      <c r="B298" s="2" t="s">
        <v>99</v>
      </c>
      <c r="C298" s="31">
        <f>M294</f>
        <v>65.157600000000002</v>
      </c>
      <c r="D298" s="27" t="s">
        <v>23</v>
      </c>
      <c r="E298" s="28"/>
      <c r="F298" s="34">
        <f t="shared" si="25"/>
        <v>0</v>
      </c>
    </row>
    <row r="299" spans="1:26" x14ac:dyDescent="0.25">
      <c r="A299" s="86"/>
      <c r="B299" s="14" t="s">
        <v>257</v>
      </c>
      <c r="C299" s="27"/>
      <c r="D299" s="27"/>
      <c r="E299" s="28"/>
      <c r="F299" s="34" t="str">
        <f t="shared" si="25"/>
        <v/>
      </c>
    </row>
    <row r="300" spans="1:26" ht="15.75" x14ac:dyDescent="0.25">
      <c r="A300" s="60"/>
      <c r="B300" s="2" t="s">
        <v>123</v>
      </c>
      <c r="C300" s="31">
        <f>L303</f>
        <v>8.0488800000000005</v>
      </c>
      <c r="D300" s="27" t="s">
        <v>83</v>
      </c>
      <c r="E300" s="28"/>
      <c r="F300" s="34">
        <f t="shared" si="25"/>
        <v>0</v>
      </c>
    </row>
    <row r="301" spans="1:26" x14ac:dyDescent="0.25">
      <c r="A301" s="86"/>
      <c r="B301" s="36" t="s">
        <v>0</v>
      </c>
      <c r="C301" s="31"/>
      <c r="D301" s="27"/>
      <c r="E301" s="28"/>
      <c r="F301" s="34" t="str">
        <f t="shared" si="25"/>
        <v/>
      </c>
      <c r="P301" t="s">
        <v>219</v>
      </c>
    </row>
    <row r="302" spans="1:26" x14ac:dyDescent="0.25">
      <c r="A302" s="60"/>
      <c r="B302" s="90" t="s">
        <v>252</v>
      </c>
      <c r="C302" s="31">
        <f>Z303</f>
        <v>262.30232098765435</v>
      </c>
      <c r="D302" s="27" t="s">
        <v>157</v>
      </c>
      <c r="E302" s="28"/>
      <c r="F302" s="34">
        <f t="shared" si="25"/>
        <v>0</v>
      </c>
      <c r="I302" t="s">
        <v>204</v>
      </c>
      <c r="J302" t="s">
        <v>27</v>
      </c>
      <c r="K302" t="s">
        <v>200</v>
      </c>
      <c r="L302" t="s">
        <v>218</v>
      </c>
      <c r="M302" t="s">
        <v>222</v>
      </c>
      <c r="P302" t="s">
        <v>220</v>
      </c>
      <c r="Q302" t="s">
        <v>10</v>
      </c>
      <c r="R302" t="s">
        <v>221</v>
      </c>
      <c r="S302" t="s">
        <v>205</v>
      </c>
      <c r="U302" s="224" t="s">
        <v>206</v>
      </c>
      <c r="V302" s="224" t="s">
        <v>207</v>
      </c>
      <c r="W302" s="224" t="s">
        <v>208</v>
      </c>
      <c r="X302" s="224" t="s">
        <v>209</v>
      </c>
      <c r="Y302" s="224" t="s">
        <v>210</v>
      </c>
      <c r="Z302" s="224" t="s">
        <v>205</v>
      </c>
    </row>
    <row r="303" spans="1:26" x14ac:dyDescent="0.25">
      <c r="A303" s="60"/>
      <c r="B303" s="90" t="s">
        <v>250</v>
      </c>
      <c r="C303" s="31">
        <f>S303</f>
        <v>1057.8418803418804</v>
      </c>
      <c r="D303" s="27" t="s">
        <v>157</v>
      </c>
      <c r="E303" s="28"/>
      <c r="F303" s="34">
        <f t="shared" si="25"/>
        <v>0</v>
      </c>
      <c r="I303" s="236">
        <f>19.164*2</f>
        <v>38.328000000000003</v>
      </c>
      <c r="J303" s="236">
        <v>0.3</v>
      </c>
      <c r="K303" s="236">
        <v>0.7</v>
      </c>
      <c r="L303" s="237">
        <f>K303*J303*I303</f>
        <v>8.0488800000000005</v>
      </c>
      <c r="M303">
        <f>(J303+J303+K303)*I303</f>
        <v>49.8264</v>
      </c>
      <c r="P303" s="236">
        <v>25</v>
      </c>
      <c r="Q303" s="236">
        <v>6</v>
      </c>
      <c r="R303">
        <f>((((I303/5.2)*(40*P303))/1000)+I303)*Q303</f>
        <v>274.19261538461541</v>
      </c>
      <c r="S303">
        <f>((R303*(P303*P303))/162)</f>
        <v>1057.8418803418804</v>
      </c>
      <c r="V303" s="223">
        <v>1</v>
      </c>
      <c r="W303" s="223">
        <v>0.15</v>
      </c>
      <c r="X303">
        <f>(I303*V303)/W303</f>
        <v>255.52000000000004</v>
      </c>
      <c r="Y303">
        <f>(1.663)*X303</f>
        <v>424.9297600000001</v>
      </c>
      <c r="Z303">
        <f>((10*10)*Y303)/162</f>
        <v>262.30232098765435</v>
      </c>
    </row>
    <row r="304" spans="1:26" x14ac:dyDescent="0.25">
      <c r="A304" s="60"/>
      <c r="B304" s="90" t="s">
        <v>236</v>
      </c>
      <c r="C304" s="31">
        <f>S304</f>
        <v>655.1794871794873</v>
      </c>
      <c r="D304" s="27" t="s">
        <v>157</v>
      </c>
      <c r="E304" s="28"/>
      <c r="F304" s="34">
        <f t="shared" si="25"/>
        <v>0</v>
      </c>
      <c r="I304" s="236">
        <f t="shared" ref="I304:I305" si="26">19.164*2</f>
        <v>38.328000000000003</v>
      </c>
      <c r="J304" s="236">
        <v>0.3</v>
      </c>
      <c r="K304" s="236">
        <v>0.7</v>
      </c>
      <c r="L304" s="237">
        <f>K304*J304*I304</f>
        <v>8.0488800000000005</v>
      </c>
      <c r="M304">
        <f>(J304+J304+K304)*I304</f>
        <v>49.8264</v>
      </c>
      <c r="P304" s="236">
        <v>20</v>
      </c>
      <c r="Q304" s="236">
        <v>6</v>
      </c>
      <c r="R304">
        <f>((((I304/5.2)*(40*P304))/1000)+I304)*Q304</f>
        <v>265.34769230769234</v>
      </c>
      <c r="S304">
        <f>((R304*(P304*P304))/162)</f>
        <v>655.1794871794873</v>
      </c>
      <c r="V304" s="223">
        <v>1</v>
      </c>
      <c r="W304" s="223">
        <v>0.15</v>
      </c>
      <c r="X304">
        <f>(I304*V304)/W304</f>
        <v>255.52000000000004</v>
      </c>
      <c r="Y304">
        <f t="shared" ref="Y304:Y305" si="27">(1.734*4)*X304</f>
        <v>1772.2867200000003</v>
      </c>
      <c r="Z304">
        <f>((6*6)*Y304)/162</f>
        <v>393.8414933333334</v>
      </c>
    </row>
    <row r="305" spans="1:26" x14ac:dyDescent="0.25">
      <c r="A305" s="60"/>
      <c r="B305" s="90" t="s">
        <v>251</v>
      </c>
      <c r="C305" s="31">
        <f>S305</f>
        <v>272.08876125356124</v>
      </c>
      <c r="D305" s="27" t="s">
        <v>157</v>
      </c>
      <c r="E305" s="28"/>
      <c r="F305" s="34">
        <f t="shared" si="25"/>
        <v>0</v>
      </c>
      <c r="I305" s="236">
        <f t="shared" si="26"/>
        <v>38.328000000000003</v>
      </c>
      <c r="J305" s="236">
        <v>0.3</v>
      </c>
      <c r="K305" s="236">
        <v>0.7</v>
      </c>
      <c r="L305" s="237">
        <f>K305*J305*I305</f>
        <v>8.0488800000000005</v>
      </c>
      <c r="M305">
        <f>(J305+J305+K305)*I305</f>
        <v>49.8264</v>
      </c>
      <c r="P305" s="236">
        <v>16</v>
      </c>
      <c r="Q305" s="236">
        <v>4</v>
      </c>
      <c r="R305">
        <f>((((I305/5.2)*(40*P305))/1000)+I305)*Q305</f>
        <v>172.18116923076923</v>
      </c>
      <c r="S305">
        <f>((R305*(P305*P305))/162)</f>
        <v>272.08876125356124</v>
      </c>
      <c r="V305" s="223">
        <v>1</v>
      </c>
      <c r="W305" s="223">
        <v>0.15</v>
      </c>
      <c r="X305">
        <f>(I305*V305)/W305</f>
        <v>255.52000000000004</v>
      </c>
      <c r="Y305">
        <f t="shared" si="27"/>
        <v>1772.2867200000003</v>
      </c>
      <c r="Z305">
        <f>((6*6)*Y305)/162</f>
        <v>393.8414933333334</v>
      </c>
    </row>
    <row r="306" spans="1:26" x14ac:dyDescent="0.25">
      <c r="A306" s="60"/>
      <c r="B306" s="90" t="s">
        <v>98</v>
      </c>
      <c r="C306" s="31">
        <v>1</v>
      </c>
      <c r="D306" s="27" t="s">
        <v>124</v>
      </c>
      <c r="E306" s="28"/>
      <c r="F306" s="34">
        <f t="shared" si="25"/>
        <v>0</v>
      </c>
    </row>
    <row r="307" spans="1:26" x14ac:dyDescent="0.25">
      <c r="A307" s="60"/>
      <c r="B307" s="88" t="s">
        <v>1</v>
      </c>
      <c r="C307" s="31"/>
      <c r="D307" s="27"/>
      <c r="E307" s="28"/>
      <c r="F307" s="34" t="str">
        <f t="shared" si="25"/>
        <v/>
      </c>
    </row>
    <row r="308" spans="1:26" ht="43.5" customHeight="1" x14ac:dyDescent="0.25">
      <c r="A308" s="60"/>
      <c r="B308" s="2" t="s">
        <v>99</v>
      </c>
      <c r="C308" s="31">
        <f>M303</f>
        <v>49.8264</v>
      </c>
      <c r="D308" s="27" t="s">
        <v>23</v>
      </c>
      <c r="E308" s="28"/>
      <c r="F308" s="34">
        <f t="shared" si="25"/>
        <v>0</v>
      </c>
    </row>
    <row r="309" spans="1:26" x14ac:dyDescent="0.25">
      <c r="A309" s="60"/>
      <c r="B309" s="2"/>
      <c r="C309" s="31"/>
      <c r="D309" s="27"/>
      <c r="E309" s="28"/>
      <c r="F309" s="34" t="str">
        <f>IF(E309="",IF(C309="","",C309*E309),C309*E309)</f>
        <v/>
      </c>
    </row>
    <row r="310" spans="1:26" x14ac:dyDescent="0.25">
      <c r="A310" s="60"/>
      <c r="B310" s="2"/>
      <c r="C310" s="31"/>
      <c r="D310" s="27"/>
      <c r="E310" s="28"/>
      <c r="F310" s="34" t="str">
        <f>IF(E310="",IF(C310="","",C310*E310),C310*E310)</f>
        <v/>
      </c>
    </row>
    <row r="311" spans="1:26" x14ac:dyDescent="0.25">
      <c r="A311" s="86"/>
      <c r="B311" s="14" t="s">
        <v>258</v>
      </c>
      <c r="C311" s="27"/>
      <c r="D311" s="27"/>
      <c r="E311" s="28"/>
      <c r="F311" s="34" t="str">
        <f t="shared" ref="F311:F319" si="28">IF(E311="",IF(C311="","",C311*E311),C311*E311)</f>
        <v/>
      </c>
    </row>
    <row r="312" spans="1:26" ht="15.75" x14ac:dyDescent="0.25">
      <c r="A312" s="60"/>
      <c r="B312" s="2" t="s">
        <v>123</v>
      </c>
      <c r="C312" s="31">
        <f>L315</f>
        <v>16.097760000000001</v>
      </c>
      <c r="D312" s="27" t="s">
        <v>83</v>
      </c>
      <c r="E312" s="28"/>
      <c r="F312" s="34">
        <f t="shared" si="28"/>
        <v>0</v>
      </c>
    </row>
    <row r="313" spans="1:26" x14ac:dyDescent="0.25">
      <c r="A313" s="86"/>
      <c r="B313" s="36" t="s">
        <v>0</v>
      </c>
      <c r="C313" s="31"/>
      <c r="D313" s="27"/>
      <c r="E313" s="28"/>
      <c r="F313" s="34" t="str">
        <f t="shared" si="28"/>
        <v/>
      </c>
      <c r="P313" t="s">
        <v>219</v>
      </c>
    </row>
    <row r="314" spans="1:26" x14ac:dyDescent="0.25">
      <c r="A314" s="60"/>
      <c r="B314" s="90" t="s">
        <v>2</v>
      </c>
      <c r="C314" s="31">
        <f>Z315</f>
        <v>282.09408000000002</v>
      </c>
      <c r="D314" s="27" t="s">
        <v>157</v>
      </c>
      <c r="E314" s="28"/>
      <c r="F314" s="34">
        <f t="shared" si="28"/>
        <v>0</v>
      </c>
      <c r="I314" t="s">
        <v>204</v>
      </c>
      <c r="J314" t="s">
        <v>27</v>
      </c>
      <c r="K314" t="s">
        <v>200</v>
      </c>
      <c r="L314" t="s">
        <v>218</v>
      </c>
      <c r="M314" t="s">
        <v>222</v>
      </c>
      <c r="P314" t="s">
        <v>220</v>
      </c>
      <c r="Q314" t="s">
        <v>10</v>
      </c>
      <c r="R314" t="s">
        <v>221</v>
      </c>
      <c r="S314" t="s">
        <v>205</v>
      </c>
      <c r="U314" s="224" t="s">
        <v>206</v>
      </c>
      <c r="V314" s="224" t="s">
        <v>207</v>
      </c>
      <c r="W314" s="224" t="s">
        <v>208</v>
      </c>
      <c r="X314" s="224" t="s">
        <v>209</v>
      </c>
      <c r="Y314" s="224" t="s">
        <v>210</v>
      </c>
      <c r="Z314" s="224" t="s">
        <v>205</v>
      </c>
    </row>
    <row r="315" spans="1:26" x14ac:dyDescent="0.25">
      <c r="A315" s="60"/>
      <c r="B315" s="90" t="s">
        <v>251</v>
      </c>
      <c r="C315" s="31">
        <f>S315</f>
        <v>1088.355045014245</v>
      </c>
      <c r="D315" s="27" t="s">
        <v>157</v>
      </c>
      <c r="E315" s="28"/>
      <c r="F315" s="34">
        <f t="shared" si="28"/>
        <v>0</v>
      </c>
      <c r="I315" s="236">
        <f>19.164*4</f>
        <v>76.656000000000006</v>
      </c>
      <c r="J315" s="236">
        <v>0.7</v>
      </c>
      <c r="K315" s="236">
        <v>0.3</v>
      </c>
      <c r="L315" s="237">
        <f>K315*J315*I315</f>
        <v>16.097760000000001</v>
      </c>
      <c r="M315">
        <f>(J315+J315+K315)*I315</f>
        <v>130.3152</v>
      </c>
      <c r="P315" s="236">
        <v>16</v>
      </c>
      <c r="Q315" s="236">
        <v>8</v>
      </c>
      <c r="R315">
        <f>((((I315/5.2)*(40*P315))/1000)+I315)*Q315</f>
        <v>688.72467692307691</v>
      </c>
      <c r="S315">
        <f>((R315*(P315*P315))/162)</f>
        <v>1088.355045014245</v>
      </c>
      <c r="V315" s="223">
        <v>1</v>
      </c>
      <c r="W315" s="223">
        <v>0.1</v>
      </c>
      <c r="X315">
        <f>(I315*V315)/W315</f>
        <v>766.56000000000006</v>
      </c>
      <c r="Y315">
        <f>(1.656)*X315</f>
        <v>1269.42336</v>
      </c>
      <c r="Z315">
        <f>((6*6)*Y315)/162</f>
        <v>282.09408000000002</v>
      </c>
    </row>
    <row r="316" spans="1:26" x14ac:dyDescent="0.25">
      <c r="A316" s="60"/>
      <c r="B316" s="90" t="s">
        <v>3</v>
      </c>
      <c r="C316" s="31">
        <f>S316</f>
        <v>297.71355897435899</v>
      </c>
      <c r="D316" s="27" t="s">
        <v>157</v>
      </c>
      <c r="E316" s="28"/>
      <c r="F316" s="34">
        <f t="shared" si="28"/>
        <v>0</v>
      </c>
      <c r="I316" s="236">
        <f t="shared" ref="I316" si="29">19.164*4</f>
        <v>76.656000000000006</v>
      </c>
      <c r="J316" s="236">
        <v>0.3</v>
      </c>
      <c r="K316" s="236">
        <v>0.2</v>
      </c>
      <c r="L316" s="237">
        <f>K316*J316*I316</f>
        <v>4.5993599999999999</v>
      </c>
      <c r="M316">
        <f>(J316+J316+K316)*I316</f>
        <v>61.32480000000001</v>
      </c>
      <c r="P316" s="236">
        <v>12</v>
      </c>
      <c r="Q316" s="236">
        <v>4</v>
      </c>
      <c r="R316">
        <f>((((I316/5.2)*(40*P316))/1000)+I316)*Q316</f>
        <v>334.92775384615385</v>
      </c>
      <c r="S316">
        <f>((R316*(P316*P316))/162)</f>
        <v>297.71355897435899</v>
      </c>
      <c r="V316" s="223">
        <v>1</v>
      </c>
      <c r="W316" s="223">
        <v>0.15</v>
      </c>
      <c r="X316">
        <f>(I316*V316)/W316</f>
        <v>511.04000000000008</v>
      </c>
      <c r="Y316">
        <f t="shared" ref="Y316" si="30">(1.734*4)*X316</f>
        <v>3544.5734400000006</v>
      </c>
      <c r="Z316">
        <f>((6*6)*Y316)/162</f>
        <v>787.68298666666681</v>
      </c>
    </row>
    <row r="317" spans="1:26" x14ac:dyDescent="0.25">
      <c r="A317" s="60"/>
      <c r="B317" s="90" t="s">
        <v>98</v>
      </c>
      <c r="C317" s="31">
        <v>1</v>
      </c>
      <c r="D317" s="27" t="s">
        <v>124</v>
      </c>
      <c r="E317" s="28"/>
      <c r="F317" s="34">
        <f t="shared" si="28"/>
        <v>0</v>
      </c>
    </row>
    <row r="318" spans="1:26" x14ac:dyDescent="0.25">
      <c r="A318" s="60"/>
      <c r="B318" s="88" t="s">
        <v>1</v>
      </c>
      <c r="C318" s="31"/>
      <c r="D318" s="27"/>
      <c r="E318" s="28"/>
      <c r="F318" s="34" t="str">
        <f t="shared" si="28"/>
        <v/>
      </c>
    </row>
    <row r="319" spans="1:26" ht="43.5" customHeight="1" x14ac:dyDescent="0.25">
      <c r="A319" s="60"/>
      <c r="B319" s="2" t="s">
        <v>99</v>
      </c>
      <c r="C319" s="31">
        <f>M315</f>
        <v>130.3152</v>
      </c>
      <c r="D319" s="27" t="s">
        <v>23</v>
      </c>
      <c r="E319" s="28"/>
      <c r="F319" s="34">
        <f t="shared" si="28"/>
        <v>0</v>
      </c>
    </row>
    <row r="320" spans="1:26" x14ac:dyDescent="0.25">
      <c r="A320" s="60"/>
      <c r="B320" s="2"/>
      <c r="C320" s="31"/>
      <c r="D320" s="27"/>
      <c r="E320" s="28"/>
      <c r="F320" s="34" t="str">
        <f>IF(E320="",IF(C320="","",C320*E320),C320*E320)</f>
        <v/>
      </c>
    </row>
    <row r="321" spans="1:26" x14ac:dyDescent="0.25">
      <c r="A321" s="86"/>
      <c r="B321" s="14" t="s">
        <v>259</v>
      </c>
      <c r="C321" s="27"/>
      <c r="D321" s="27"/>
      <c r="E321" s="28"/>
      <c r="F321" s="34" t="str">
        <f t="shared" ref="F321:F329" si="31">IF(E321="",IF(C321="","",C321*E321),C321*E321)</f>
        <v/>
      </c>
    </row>
    <row r="322" spans="1:26" ht="15.75" x14ac:dyDescent="0.25">
      <c r="A322" s="60"/>
      <c r="B322" s="2" t="s">
        <v>123</v>
      </c>
      <c r="C322" s="31">
        <f>L325</f>
        <v>7.2128000000000005</v>
      </c>
      <c r="D322" s="27" t="s">
        <v>83</v>
      </c>
      <c r="E322" s="28"/>
      <c r="F322" s="34">
        <f t="shared" si="31"/>
        <v>0</v>
      </c>
    </row>
    <row r="323" spans="1:26" x14ac:dyDescent="0.25">
      <c r="A323" s="86"/>
      <c r="B323" s="36" t="s">
        <v>0</v>
      </c>
      <c r="C323" s="31"/>
      <c r="D323" s="27"/>
      <c r="E323" s="28"/>
      <c r="F323" s="34" t="str">
        <f t="shared" si="31"/>
        <v/>
      </c>
      <c r="P323" t="s">
        <v>219</v>
      </c>
    </row>
    <row r="324" spans="1:26" x14ac:dyDescent="0.25">
      <c r="A324" s="60"/>
      <c r="B324" s="90" t="s">
        <v>2</v>
      </c>
      <c r="C324" s="31">
        <f>Z325</f>
        <v>135.28007111111111</v>
      </c>
      <c r="D324" s="27" t="s">
        <v>157</v>
      </c>
      <c r="E324" s="28"/>
      <c r="F324" s="34">
        <f t="shared" si="31"/>
        <v>0</v>
      </c>
      <c r="I324" t="s">
        <v>204</v>
      </c>
      <c r="J324" t="s">
        <v>27</v>
      </c>
      <c r="K324" t="s">
        <v>200</v>
      </c>
      <c r="L324" t="s">
        <v>218</v>
      </c>
      <c r="M324" t="s">
        <v>222</v>
      </c>
      <c r="P324" t="s">
        <v>220</v>
      </c>
      <c r="Q324" t="s">
        <v>10</v>
      </c>
      <c r="R324" t="s">
        <v>221</v>
      </c>
      <c r="S324" t="s">
        <v>205</v>
      </c>
      <c r="U324" s="224" t="s">
        <v>206</v>
      </c>
      <c r="V324" s="224" t="s">
        <v>207</v>
      </c>
      <c r="W324" s="224" t="s">
        <v>208</v>
      </c>
      <c r="X324" s="224" t="s">
        <v>209</v>
      </c>
      <c r="Y324" s="224" t="s">
        <v>210</v>
      </c>
      <c r="Z324" s="224" t="s">
        <v>205</v>
      </c>
    </row>
    <row r="325" spans="1:26" x14ac:dyDescent="0.25">
      <c r="A325" s="60"/>
      <c r="B325" s="90" t="s">
        <v>251</v>
      </c>
      <c r="C325" s="31">
        <f>S325</f>
        <v>640.04181576448252</v>
      </c>
      <c r="D325" s="27" t="s">
        <v>157</v>
      </c>
      <c r="E325" s="28"/>
      <c r="F325" s="34">
        <f t="shared" si="31"/>
        <v>0</v>
      </c>
      <c r="I325" s="236">
        <v>72.128</v>
      </c>
      <c r="J325" s="236">
        <v>0.5</v>
      </c>
      <c r="K325" s="236">
        <v>0.2</v>
      </c>
      <c r="L325" s="237">
        <f>K325*J325*I325</f>
        <v>7.2128000000000005</v>
      </c>
      <c r="M325">
        <f>(J325+J325+K325)*I325</f>
        <v>86.553600000000003</v>
      </c>
      <c r="P325" s="236">
        <v>16</v>
      </c>
      <c r="Q325" s="236">
        <v>5</v>
      </c>
      <c r="R325">
        <f>((((I325/5.2)*(40*P325))/1000)+I325)*Q325</f>
        <v>405.0264615384616</v>
      </c>
      <c r="S325">
        <f>((R325*(P325*P325))/162)</f>
        <v>640.04181576448252</v>
      </c>
      <c r="V325" s="223">
        <v>1</v>
      </c>
      <c r="W325" s="223">
        <v>0.125</v>
      </c>
      <c r="X325">
        <f>(I325*V325)/W325</f>
        <v>577.024</v>
      </c>
      <c r="Y325">
        <f>(1.055)*X325</f>
        <v>608.76031999999998</v>
      </c>
      <c r="Z325">
        <f>((6*6)*Y325)/162</f>
        <v>135.28007111111111</v>
      </c>
    </row>
    <row r="326" spans="1:26" x14ac:dyDescent="0.25">
      <c r="A326" s="60"/>
      <c r="B326" s="90" t="s">
        <v>3</v>
      </c>
      <c r="C326" s="31">
        <f>S326</f>
        <v>140.06394529914527</v>
      </c>
      <c r="D326" s="27" t="s">
        <v>157</v>
      </c>
      <c r="E326" s="28"/>
      <c r="F326" s="34">
        <f t="shared" si="31"/>
        <v>0</v>
      </c>
      <c r="I326" s="236">
        <v>72.128</v>
      </c>
      <c r="J326" s="236">
        <v>0.3</v>
      </c>
      <c r="K326" s="236">
        <v>0.2</v>
      </c>
      <c r="L326" s="237">
        <f>K326*J326*I326</f>
        <v>4.32768</v>
      </c>
      <c r="M326">
        <f>(J326+J326+K326)*I326</f>
        <v>57.702400000000004</v>
      </c>
      <c r="P326" s="236">
        <v>12</v>
      </c>
      <c r="Q326" s="236">
        <v>2</v>
      </c>
      <c r="R326">
        <f>((((I326/5.2)*(40*P326))/1000)+I326)*Q326</f>
        <v>157.57193846153845</v>
      </c>
      <c r="S326">
        <f>((R326*(P326*P326))/162)</f>
        <v>140.06394529914527</v>
      </c>
      <c r="V326" s="223">
        <v>1</v>
      </c>
      <c r="W326" s="223">
        <v>0.15</v>
      </c>
      <c r="X326">
        <f>(I326*V326)/W326</f>
        <v>480.85333333333335</v>
      </c>
      <c r="Y326">
        <f>(((J326-0.045)+(K326-0.045))*2)*X326</f>
        <v>394.29973333333339</v>
      </c>
      <c r="Z326">
        <f>((6*6)*Y326)/162</f>
        <v>87.622162962962975</v>
      </c>
    </row>
    <row r="327" spans="1:26" x14ac:dyDescent="0.25">
      <c r="A327" s="60"/>
      <c r="B327" s="90" t="s">
        <v>98</v>
      </c>
      <c r="C327" s="31">
        <v>1</v>
      </c>
      <c r="D327" s="27" t="s">
        <v>124</v>
      </c>
      <c r="E327" s="28"/>
      <c r="F327" s="34">
        <f t="shared" si="31"/>
        <v>0</v>
      </c>
    </row>
    <row r="328" spans="1:26" x14ac:dyDescent="0.25">
      <c r="A328" s="60"/>
      <c r="B328" s="88" t="s">
        <v>1</v>
      </c>
      <c r="C328" s="31"/>
      <c r="D328" s="27"/>
      <c r="E328" s="28"/>
      <c r="F328" s="34" t="str">
        <f t="shared" si="31"/>
        <v/>
      </c>
    </row>
    <row r="329" spans="1:26" ht="43.5" customHeight="1" x14ac:dyDescent="0.25">
      <c r="A329" s="60"/>
      <c r="B329" s="2" t="s">
        <v>99</v>
      </c>
      <c r="C329" s="31">
        <f>M325</f>
        <v>86.553600000000003</v>
      </c>
      <c r="D329" s="27" t="s">
        <v>23</v>
      </c>
      <c r="E329" s="28"/>
      <c r="F329" s="34">
        <f t="shared" si="31"/>
        <v>0</v>
      </c>
    </row>
    <row r="330" spans="1:26" x14ac:dyDescent="0.25">
      <c r="A330" s="86"/>
      <c r="B330" s="14"/>
      <c r="C330" s="27"/>
      <c r="D330" s="27"/>
      <c r="E330" s="28"/>
      <c r="F330" s="34"/>
    </row>
    <row r="331" spans="1:26" x14ac:dyDescent="0.25">
      <c r="A331" s="86"/>
      <c r="B331" s="14" t="s">
        <v>260</v>
      </c>
      <c r="C331" s="27"/>
      <c r="D331" s="27"/>
      <c r="E331" s="28"/>
      <c r="F331" s="34" t="str">
        <f t="shared" ref="F331:F336" si="32">IF(E331="",IF(C331="","",C331*E331),C331*E331)</f>
        <v/>
      </c>
      <c r="K331">
        <v>62</v>
      </c>
      <c r="L331">
        <f>K331*0.5*0.125</f>
        <v>3.875</v>
      </c>
      <c r="O331">
        <f>62000/200</f>
        <v>310</v>
      </c>
      <c r="P331">
        <f>K332*O331</f>
        <v>155</v>
      </c>
      <c r="Q331">
        <f>P331+P332</f>
        <v>279</v>
      </c>
      <c r="R331">
        <f>(Q331*(10*10))/162</f>
        <v>172.22222222222223</v>
      </c>
    </row>
    <row r="332" spans="1:26" ht="15.75" x14ac:dyDescent="0.25">
      <c r="A332" s="60"/>
      <c r="B332" s="2" t="s">
        <v>122</v>
      </c>
      <c r="C332" s="31">
        <v>3.875</v>
      </c>
      <c r="D332" s="27" t="s">
        <v>83</v>
      </c>
      <c r="E332" s="28"/>
      <c r="F332" s="34">
        <f t="shared" si="32"/>
        <v>0</v>
      </c>
      <c r="K332">
        <v>0.5</v>
      </c>
      <c r="O332">
        <f>500/250</f>
        <v>2</v>
      </c>
      <c r="P332">
        <f>O332*K331</f>
        <v>124</v>
      </c>
    </row>
    <row r="333" spans="1:26" x14ac:dyDescent="0.25">
      <c r="A333" s="86"/>
      <c r="B333" s="36" t="s">
        <v>0</v>
      </c>
      <c r="C333" s="31"/>
      <c r="D333" s="27"/>
      <c r="E333" s="28"/>
      <c r="F333" s="34" t="str">
        <f t="shared" si="32"/>
        <v/>
      </c>
    </row>
    <row r="334" spans="1:26" x14ac:dyDescent="0.25">
      <c r="A334" s="60"/>
      <c r="B334" s="90" t="s">
        <v>127</v>
      </c>
      <c r="C334" s="31">
        <v>172.22221999999999</v>
      </c>
      <c r="D334" s="27" t="s">
        <v>157</v>
      </c>
      <c r="E334" s="28"/>
      <c r="F334" s="34">
        <f t="shared" si="32"/>
        <v>0</v>
      </c>
      <c r="K334">
        <f>K332*K331*2</f>
        <v>62</v>
      </c>
    </row>
    <row r="335" spans="1:26" x14ac:dyDescent="0.25">
      <c r="A335" s="60"/>
      <c r="B335" s="88" t="s">
        <v>1</v>
      </c>
      <c r="C335" s="27"/>
      <c r="D335" s="27"/>
      <c r="E335" s="28"/>
      <c r="F335" s="34" t="str">
        <f t="shared" si="32"/>
        <v/>
      </c>
    </row>
    <row r="336" spans="1:26" ht="43.5" customHeight="1" x14ac:dyDescent="0.25">
      <c r="A336" s="60"/>
      <c r="B336" s="2" t="s">
        <v>99</v>
      </c>
      <c r="C336" s="31">
        <f>62*0.5*2</f>
        <v>62</v>
      </c>
      <c r="D336" s="27" t="s">
        <v>23</v>
      </c>
      <c r="E336" s="28"/>
      <c r="F336" s="34">
        <f t="shared" si="32"/>
        <v>0</v>
      </c>
    </row>
    <row r="337" spans="1:26" x14ac:dyDescent="0.25">
      <c r="A337" s="244"/>
      <c r="B337" s="239"/>
      <c r="C337" s="245"/>
      <c r="D337" s="240"/>
      <c r="E337" s="241"/>
      <c r="F337" s="215"/>
      <c r="J337">
        <v>2.3144</v>
      </c>
    </row>
    <row r="338" spans="1:26" ht="15.75" thickBot="1" x14ac:dyDescent="0.3">
      <c r="A338" s="199">
        <v>3.6</v>
      </c>
      <c r="B338" s="260" t="s">
        <v>263</v>
      </c>
      <c r="C338" s="261"/>
      <c r="D338" s="261"/>
      <c r="E338" s="261"/>
      <c r="F338" s="155">
        <f>SUM(F340:F364)</f>
        <v>0</v>
      </c>
      <c r="J338">
        <f>J337/3</f>
        <v>0.77146666666666663</v>
      </c>
    </row>
    <row r="339" spans="1:26" ht="15.75" thickTop="1" x14ac:dyDescent="0.25">
      <c r="A339" s="86"/>
      <c r="B339" s="36"/>
      <c r="C339" s="31"/>
      <c r="D339" s="27"/>
      <c r="E339" s="28"/>
      <c r="F339" s="34"/>
    </row>
    <row r="340" spans="1:26" x14ac:dyDescent="0.25">
      <c r="A340" s="86"/>
      <c r="B340" s="14" t="s">
        <v>284</v>
      </c>
      <c r="C340" s="27"/>
      <c r="D340" s="27"/>
      <c r="E340" s="17"/>
      <c r="F340" s="34" t="str">
        <f t="shared" ref="F340:F343" si="33">IF(E340="",IF(C340="","",C340*E340),C340*E340)</f>
        <v/>
      </c>
      <c r="J340">
        <f>771/150</f>
        <v>5.14</v>
      </c>
      <c r="K340">
        <f>J340*3</f>
        <v>15.419999999999998</v>
      </c>
      <c r="M340">
        <f>K340+K341+L340+L341</f>
        <v>61.7</v>
      </c>
      <c r="N340">
        <f>M340</f>
        <v>61.7</v>
      </c>
      <c r="O340">
        <f>(N340*(10*10))/162</f>
        <v>38.086419753086417</v>
      </c>
    </row>
    <row r="341" spans="1:26" ht="15.75" x14ac:dyDescent="0.25">
      <c r="A341" s="60"/>
      <c r="B341" s="2" t="s">
        <v>122</v>
      </c>
      <c r="C341" s="31">
        <f>2.344*0.13</f>
        <v>0.30471999999999999</v>
      </c>
      <c r="D341" s="27" t="s">
        <v>83</v>
      </c>
      <c r="E341" s="17"/>
      <c r="F341" s="34">
        <f t="shared" si="33"/>
        <v>0</v>
      </c>
      <c r="J341">
        <f>3000/150</f>
        <v>20</v>
      </c>
      <c r="K341">
        <f>J341*2.314</f>
        <v>46.28</v>
      </c>
    </row>
    <row r="342" spans="1:26" x14ac:dyDescent="0.25">
      <c r="A342" s="86"/>
      <c r="B342" s="36" t="s">
        <v>0</v>
      </c>
      <c r="C342" s="31"/>
      <c r="D342" s="27"/>
      <c r="E342" s="17"/>
      <c r="F342" s="34" t="str">
        <f t="shared" si="33"/>
        <v/>
      </c>
    </row>
    <row r="343" spans="1:26" x14ac:dyDescent="0.25">
      <c r="A343" s="60"/>
      <c r="B343" s="90" t="s">
        <v>254</v>
      </c>
      <c r="C343" s="31">
        <v>38.086419999999997</v>
      </c>
      <c r="D343" s="27" t="s">
        <v>157</v>
      </c>
      <c r="E343" s="17"/>
      <c r="F343" s="34">
        <f t="shared" si="33"/>
        <v>0</v>
      </c>
    </row>
    <row r="344" spans="1:26" x14ac:dyDescent="0.25">
      <c r="A344" s="60"/>
      <c r="B344" s="90"/>
      <c r="C344" s="31"/>
      <c r="D344" s="27"/>
      <c r="E344" s="28"/>
      <c r="F344" s="34"/>
      <c r="U344" s="224"/>
      <c r="V344" s="224"/>
      <c r="W344" s="224"/>
      <c r="X344" s="224"/>
      <c r="Y344" s="224"/>
      <c r="Z344" s="224"/>
    </row>
    <row r="345" spans="1:26" x14ac:dyDescent="0.25">
      <c r="A345" s="86"/>
      <c r="B345" s="227" t="str">
        <f>CONCATENATE("Column ",H347)</f>
        <v>Column C4</v>
      </c>
      <c r="C345" s="31"/>
      <c r="D345" s="27"/>
      <c r="E345" s="17"/>
      <c r="F345" s="34" t="str">
        <f t="shared" ref="F345:F347" si="34">IF(E345="",IF(C345="","",C345*E345),C345*E345)</f>
        <v/>
      </c>
      <c r="H345" s="12"/>
      <c r="I345" t="s">
        <v>122</v>
      </c>
      <c r="P345" t="s">
        <v>198</v>
      </c>
    </row>
    <row r="346" spans="1:26" ht="15.75" x14ac:dyDescent="0.25">
      <c r="A346" s="60"/>
      <c r="B346" s="2" t="s">
        <v>123</v>
      </c>
      <c r="C346" s="31">
        <f>+N347</f>
        <v>8.2042000000000002</v>
      </c>
      <c r="D346" s="27" t="s">
        <v>83</v>
      </c>
      <c r="E346" s="28"/>
      <c r="F346" s="34">
        <f t="shared" si="34"/>
        <v>0</v>
      </c>
      <c r="H346" s="12"/>
      <c r="I346" s="12" t="s">
        <v>10</v>
      </c>
      <c r="J346" s="12" t="s">
        <v>199</v>
      </c>
      <c r="K346" s="12" t="s">
        <v>200</v>
      </c>
      <c r="L346" s="12" t="s">
        <v>27</v>
      </c>
      <c r="M346" s="12" t="s">
        <v>21</v>
      </c>
      <c r="N346" s="12" t="s">
        <v>201</v>
      </c>
      <c r="O346" t="s">
        <v>202</v>
      </c>
      <c r="P346" t="s">
        <v>203</v>
      </c>
      <c r="Q346" s="223" t="s">
        <v>10</v>
      </c>
      <c r="R346" s="224" t="s">
        <v>204</v>
      </c>
      <c r="S346" s="224" t="s">
        <v>205</v>
      </c>
      <c r="T346" s="224" t="s">
        <v>206</v>
      </c>
      <c r="U346" s="224" t="s">
        <v>207</v>
      </c>
      <c r="V346" s="224" t="s">
        <v>208</v>
      </c>
      <c r="W346" s="224" t="s">
        <v>209</v>
      </c>
      <c r="X346" s="224" t="s">
        <v>210</v>
      </c>
      <c r="Y346" s="224" t="s">
        <v>205</v>
      </c>
    </row>
    <row r="347" spans="1:26" x14ac:dyDescent="0.25">
      <c r="A347" s="86"/>
      <c r="B347" s="36" t="s">
        <v>0</v>
      </c>
      <c r="C347" s="31"/>
      <c r="D347" s="27"/>
      <c r="E347" s="28"/>
      <c r="F347" s="34" t="str">
        <f t="shared" si="34"/>
        <v/>
      </c>
      <c r="H347" s="12" t="s">
        <v>264</v>
      </c>
      <c r="I347" s="223">
        <v>4</v>
      </c>
      <c r="J347" s="223">
        <f>14.85+1.3</f>
        <v>16.149999999999999</v>
      </c>
      <c r="K347" s="223"/>
      <c r="L347" s="223"/>
      <c r="M347">
        <v>0.127</v>
      </c>
      <c r="N347">
        <f>M347*J347*I347</f>
        <v>8.2042000000000002</v>
      </c>
      <c r="O347">
        <f>1.947*J347*I347</f>
        <v>125.77619999999999</v>
      </c>
      <c r="P347" s="223">
        <v>12</v>
      </c>
      <c r="Q347" s="223">
        <v>10</v>
      </c>
      <c r="R347">
        <f>(J347+0.2)*Q347*I347</f>
        <v>653.99999999999989</v>
      </c>
      <c r="S347">
        <f>(R347*(P347*P347))/162</f>
        <v>581.33333333333326</v>
      </c>
      <c r="U347" s="223">
        <v>1</v>
      </c>
      <c r="V347" s="223">
        <v>0.15</v>
      </c>
      <c r="W347">
        <f>(J347*I347*U347)/V347</f>
        <v>430.66666666666663</v>
      </c>
      <c r="X347">
        <f>1.605*W347</f>
        <v>691.21999999999991</v>
      </c>
      <c r="Y347">
        <f>((6*6)*X347)/162</f>
        <v>153.60444444444443</v>
      </c>
    </row>
    <row r="348" spans="1:26" x14ac:dyDescent="0.25">
      <c r="A348" s="60"/>
      <c r="B348" s="90" t="str">
        <f>CONCATENATE("Steel deformed bars, ",P347," mm dia")</f>
        <v>Steel deformed bars, 12 mm dia</v>
      </c>
      <c r="C348" s="31">
        <f>+S347+Y347</f>
        <v>734.93777777777768</v>
      </c>
      <c r="D348" s="27" t="s">
        <v>212</v>
      </c>
      <c r="E348" s="28"/>
      <c r="F348" s="34">
        <f>IF(E348="",IF(C348="","",C348*E348),C348*E348)</f>
        <v>0</v>
      </c>
      <c r="H348" s="12" t="s">
        <v>211</v>
      </c>
      <c r="I348" s="223"/>
      <c r="J348" s="223">
        <v>3.85</v>
      </c>
      <c r="K348" s="223">
        <v>0.2</v>
      </c>
      <c r="L348" s="223">
        <v>0.2</v>
      </c>
      <c r="M348">
        <f>L348*K348</f>
        <v>4.0000000000000008E-2</v>
      </c>
      <c r="N348">
        <f>M348*J348*I348</f>
        <v>0</v>
      </c>
      <c r="O348">
        <f>(((J348*K348)+(J348*L348))*2)*I348</f>
        <v>0</v>
      </c>
      <c r="P348" s="223">
        <v>12</v>
      </c>
      <c r="Q348" s="223">
        <v>4</v>
      </c>
      <c r="R348">
        <f>(J348+0.2)*Q348*I348</f>
        <v>0</v>
      </c>
      <c r="S348">
        <f>(R348*(P348*P348))/162</f>
        <v>0</v>
      </c>
      <c r="U348" s="223">
        <v>1</v>
      </c>
      <c r="V348" s="223">
        <v>0.15</v>
      </c>
      <c r="W348">
        <f>(J348*I348*U348)/V348</f>
        <v>0</v>
      </c>
      <c r="X348">
        <f>(((K348-0.045)+(L348-0.045))*2)*W348</f>
        <v>0</v>
      </c>
      <c r="Y348">
        <f>((6*6)*X348)/162</f>
        <v>0</v>
      </c>
    </row>
    <row r="349" spans="1:26" x14ac:dyDescent="0.25">
      <c r="A349" s="60"/>
      <c r="B349" s="90" t="s">
        <v>98</v>
      </c>
      <c r="C349" s="31">
        <v>1</v>
      </c>
      <c r="D349" s="27" t="s">
        <v>124</v>
      </c>
      <c r="E349" s="28"/>
      <c r="F349" s="34">
        <f>IF(E349="",IF(C349="","",C349*E349),C349*E349)</f>
        <v>0</v>
      </c>
    </row>
    <row r="350" spans="1:26" x14ac:dyDescent="0.25">
      <c r="A350" s="60"/>
    </row>
    <row r="351" spans="1:26" x14ac:dyDescent="0.25">
      <c r="A351" s="60"/>
      <c r="B351" s="88" t="s">
        <v>1</v>
      </c>
      <c r="C351" s="31"/>
      <c r="D351" s="27"/>
      <c r="E351" s="28"/>
      <c r="F351" s="34" t="str">
        <f t="shared" ref="F351:F352" si="35">IF(E351="",IF(C351="","",C351*E351),C351*E351)</f>
        <v/>
      </c>
    </row>
    <row r="352" spans="1:26" ht="43.5" customHeight="1" x14ac:dyDescent="0.25">
      <c r="A352" s="60"/>
      <c r="B352" s="2" t="s">
        <v>99</v>
      </c>
      <c r="C352" s="31">
        <f>O347</f>
        <v>125.77619999999999</v>
      </c>
      <c r="D352" s="27" t="s">
        <v>23</v>
      </c>
      <c r="E352" s="28"/>
      <c r="F352" s="34">
        <f t="shared" si="35"/>
        <v>0</v>
      </c>
    </row>
    <row r="353" spans="1:27" x14ac:dyDescent="0.25">
      <c r="A353" s="60"/>
      <c r="B353" s="90"/>
      <c r="C353" s="31"/>
      <c r="D353" s="27"/>
      <c r="E353" s="28"/>
      <c r="F353" s="34"/>
      <c r="V353" s="224"/>
      <c r="W353" s="224"/>
      <c r="X353" s="224"/>
      <c r="Y353" s="224"/>
      <c r="Z353" s="224"/>
      <c r="AA353" s="224"/>
    </row>
    <row r="354" spans="1:27" x14ac:dyDescent="0.25">
      <c r="A354" s="86"/>
      <c r="B354" s="14" t="s">
        <v>265</v>
      </c>
      <c r="C354" s="27"/>
      <c r="D354" s="27"/>
      <c r="E354" s="28"/>
      <c r="F354" s="34" t="str">
        <f t="shared" ref="F354:F361" si="36">IF(E354="",IF(C354="","",C354*E354),C354*E354)</f>
        <v/>
      </c>
    </row>
    <row r="355" spans="1:27" ht="15.75" x14ac:dyDescent="0.25">
      <c r="A355" s="60"/>
      <c r="B355" s="2" t="s">
        <v>123</v>
      </c>
      <c r="C355" s="31">
        <f>L358</f>
        <v>1.1744000000000001</v>
      </c>
      <c r="D355" s="27" t="s">
        <v>83</v>
      </c>
      <c r="E355" s="28"/>
      <c r="F355" s="34">
        <f t="shared" si="36"/>
        <v>0</v>
      </c>
    </row>
    <row r="356" spans="1:27" x14ac:dyDescent="0.25">
      <c r="A356" s="86"/>
      <c r="B356" s="36" t="s">
        <v>0</v>
      </c>
      <c r="C356" s="31"/>
      <c r="D356" s="27"/>
      <c r="E356" s="28"/>
      <c r="F356" s="34" t="str">
        <f t="shared" si="36"/>
        <v/>
      </c>
      <c r="P356" t="s">
        <v>219</v>
      </c>
    </row>
    <row r="357" spans="1:27" x14ac:dyDescent="0.25">
      <c r="A357" s="60"/>
      <c r="B357" s="90" t="s">
        <v>2</v>
      </c>
      <c r="C357" s="31">
        <f>Z358</f>
        <v>27.82675555555555</v>
      </c>
      <c r="D357" s="27" t="s">
        <v>157</v>
      </c>
      <c r="E357" s="28"/>
      <c r="F357" s="34">
        <f t="shared" si="36"/>
        <v>0</v>
      </c>
      <c r="I357" t="s">
        <v>204</v>
      </c>
      <c r="J357" t="s">
        <v>27</v>
      </c>
      <c r="K357" t="s">
        <v>200</v>
      </c>
      <c r="L357" t="s">
        <v>218</v>
      </c>
      <c r="M357" t="s">
        <v>222</v>
      </c>
      <c r="P357" t="s">
        <v>220</v>
      </c>
      <c r="Q357" t="s">
        <v>10</v>
      </c>
      <c r="R357" t="s">
        <v>221</v>
      </c>
      <c r="S357" t="s">
        <v>205</v>
      </c>
      <c r="U357" s="224" t="s">
        <v>206</v>
      </c>
      <c r="V357" s="224" t="s">
        <v>207</v>
      </c>
      <c r="W357" s="224" t="s">
        <v>208</v>
      </c>
      <c r="X357" s="224" t="s">
        <v>209</v>
      </c>
      <c r="Y357" s="224" t="s">
        <v>210</v>
      </c>
      <c r="Z357" s="224" t="s">
        <v>205</v>
      </c>
    </row>
    <row r="358" spans="1:27" x14ac:dyDescent="0.25">
      <c r="A358" s="60"/>
      <c r="B358" s="90" t="s">
        <v>251</v>
      </c>
      <c r="C358" s="31">
        <f>S358</f>
        <v>104.21266476733143</v>
      </c>
      <c r="D358" s="27" t="s">
        <v>157</v>
      </c>
      <c r="E358" s="28"/>
      <c r="F358" s="34">
        <f t="shared" si="36"/>
        <v>0</v>
      </c>
      <c r="I358" s="236">
        <v>14.68</v>
      </c>
      <c r="J358" s="236">
        <v>0.4</v>
      </c>
      <c r="K358" s="236">
        <v>0.2</v>
      </c>
      <c r="L358" s="237">
        <f>K358*J358*I358</f>
        <v>1.1744000000000001</v>
      </c>
      <c r="M358">
        <f>(J358+J358+K358)*I358</f>
        <v>14.68</v>
      </c>
      <c r="P358" s="236">
        <v>16</v>
      </c>
      <c r="Q358" s="236">
        <v>4</v>
      </c>
      <c r="R358">
        <f>((((I358/5.2)*(40*P358))/1000)+I358)*Q358</f>
        <v>65.947076923076921</v>
      </c>
      <c r="S358">
        <f>((R358*(P358*P358))/162)</f>
        <v>104.21266476733143</v>
      </c>
      <c r="V358" s="223">
        <v>1</v>
      </c>
      <c r="W358" s="223">
        <v>0.1</v>
      </c>
      <c r="X358">
        <f>(I358*V358)/W358</f>
        <v>146.79999999999998</v>
      </c>
      <c r="Y358">
        <f>(0.853)*X358</f>
        <v>125.22039999999998</v>
      </c>
      <c r="Z358">
        <f>((6*6)*Y358)/162</f>
        <v>27.82675555555555</v>
      </c>
    </row>
    <row r="359" spans="1:27" x14ac:dyDescent="0.25">
      <c r="A359" s="60"/>
      <c r="B359" s="90" t="s">
        <v>98</v>
      </c>
      <c r="C359" s="31">
        <v>1</v>
      </c>
      <c r="D359" s="27" t="s">
        <v>124</v>
      </c>
      <c r="E359" s="28"/>
      <c r="F359" s="34">
        <f t="shared" si="36"/>
        <v>0</v>
      </c>
    </row>
    <row r="360" spans="1:27" x14ac:dyDescent="0.25">
      <c r="A360" s="60"/>
      <c r="B360" s="88" t="s">
        <v>1</v>
      </c>
      <c r="C360" s="31"/>
      <c r="D360" s="27"/>
      <c r="E360" s="28"/>
      <c r="F360" s="34" t="str">
        <f t="shared" si="36"/>
        <v/>
      </c>
    </row>
    <row r="361" spans="1:27" ht="43.5" customHeight="1" x14ac:dyDescent="0.25">
      <c r="A361" s="60"/>
      <c r="B361" s="2" t="s">
        <v>99</v>
      </c>
      <c r="C361" s="31">
        <f>M358</f>
        <v>14.68</v>
      </c>
      <c r="D361" s="27" t="s">
        <v>23</v>
      </c>
      <c r="E361" s="28"/>
      <c r="F361" s="34">
        <f t="shared" si="36"/>
        <v>0</v>
      </c>
    </row>
    <row r="362" spans="1:27" x14ac:dyDescent="0.25">
      <c r="A362" s="86"/>
      <c r="B362" s="14"/>
      <c r="C362" s="27"/>
      <c r="D362" s="27"/>
      <c r="E362" s="28"/>
      <c r="F362" s="34"/>
    </row>
    <row r="363" spans="1:27" x14ac:dyDescent="0.25">
      <c r="A363" s="60"/>
      <c r="B363" s="90"/>
      <c r="C363" s="31"/>
      <c r="D363" s="27"/>
      <c r="E363" s="28"/>
      <c r="F363" s="34"/>
      <c r="I363" s="236"/>
      <c r="J363" s="236"/>
      <c r="K363" s="236"/>
      <c r="L363" s="237"/>
      <c r="P363" s="236"/>
      <c r="Q363" s="236"/>
      <c r="V363" s="223"/>
      <c r="W363" s="223"/>
    </row>
    <row r="364" spans="1:27" x14ac:dyDescent="0.25">
      <c r="A364" s="60"/>
      <c r="B364" s="90"/>
      <c r="C364" s="31"/>
      <c r="D364" s="27"/>
      <c r="E364" s="28"/>
      <c r="F364" s="34"/>
    </row>
    <row r="365" spans="1:27" x14ac:dyDescent="0.25">
      <c r="A365" s="60"/>
      <c r="B365" s="88"/>
      <c r="C365" s="31"/>
      <c r="D365" s="27"/>
      <c r="E365" s="28"/>
      <c r="F365" s="34"/>
    </row>
    <row r="366" spans="1:27" ht="43.5" customHeight="1" x14ac:dyDescent="0.25">
      <c r="A366" s="60"/>
      <c r="B366" s="2"/>
      <c r="C366" s="31"/>
      <c r="D366" s="27"/>
      <c r="E366" s="28"/>
      <c r="F366" s="34"/>
    </row>
    <row r="367" spans="1:27" x14ac:dyDescent="0.25">
      <c r="A367" s="60"/>
      <c r="B367" s="2"/>
      <c r="C367" s="31"/>
      <c r="D367" s="27"/>
      <c r="E367" s="28"/>
      <c r="F367" s="34"/>
    </row>
    <row r="368" spans="1:27" x14ac:dyDescent="0.25">
      <c r="A368" s="60"/>
      <c r="B368" s="2"/>
      <c r="C368" s="31"/>
      <c r="D368" s="27"/>
      <c r="E368" s="28"/>
      <c r="F368" s="148"/>
    </row>
    <row r="369" spans="1:6" x14ac:dyDescent="0.25">
      <c r="A369" s="145"/>
      <c r="B369" s="146"/>
      <c r="C369" s="146"/>
      <c r="D369" s="146"/>
      <c r="E369" s="146"/>
      <c r="F369" s="147" t="s">
        <v>179</v>
      </c>
    </row>
  </sheetData>
  <mergeCells count="6">
    <mergeCell ref="B338:E338"/>
    <mergeCell ref="B2:E2"/>
    <mergeCell ref="B14:E14"/>
    <mergeCell ref="B79:E79"/>
    <mergeCell ref="B283:E283"/>
    <mergeCell ref="B167:E167"/>
  </mergeCells>
  <pageMargins left="0.7" right="0.7" top="0.75" bottom="0.75" header="0.3" footer="0.3"/>
  <pageSetup paperSize="9" scale="84" fitToHeight="0" orientation="portrait" r:id="rId1"/>
  <headerFooter>
    <oddHeader>&amp;L&amp;A</oddHeader>
    <oddFooter>&amp;R&amp;P of &amp;N</oddFooter>
  </headerFooter>
  <rowBreaks count="3" manualBreakCount="3">
    <brk id="13" max="16383" man="1"/>
    <brk id="78" max="16383" man="1"/>
    <brk id="282"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Normal="100" zoomScaleSheetLayoutView="100" workbookViewId="0">
      <selection activeCell="B13" sqref="B13"/>
    </sheetView>
  </sheetViews>
  <sheetFormatPr defaultRowHeight="15" x14ac:dyDescent="0.25"/>
  <cols>
    <col min="1" max="1" width="5.5703125" customWidth="1"/>
    <col min="2" max="2" width="48.85546875" customWidth="1"/>
    <col min="3" max="3" width="7.5703125" bestFit="1" customWidth="1"/>
    <col min="4" max="4" width="5.85546875" customWidth="1"/>
    <col min="5" max="5" width="14.42578125" customWidth="1"/>
    <col min="6" max="6" width="18.5703125" customWidth="1"/>
    <col min="12" max="12" width="15.28515625" bestFit="1" customWidth="1"/>
  </cols>
  <sheetData>
    <row r="1" spans="1:12" x14ac:dyDescent="0.25">
      <c r="A1" s="5" t="s">
        <v>11</v>
      </c>
      <c r="B1" s="6" t="s">
        <v>12</v>
      </c>
      <c r="C1" s="7" t="s">
        <v>13</v>
      </c>
      <c r="D1" s="8" t="s">
        <v>14</v>
      </c>
      <c r="E1" s="6" t="s">
        <v>121</v>
      </c>
      <c r="F1" s="9" t="s">
        <v>15</v>
      </c>
    </row>
    <row r="2" spans="1:12" ht="15.75" thickBot="1" x14ac:dyDescent="0.3">
      <c r="A2" s="10">
        <v>4</v>
      </c>
      <c r="B2" s="253" t="s">
        <v>60</v>
      </c>
      <c r="C2" s="254"/>
      <c r="D2" s="254"/>
      <c r="E2" s="266"/>
      <c r="F2" s="11"/>
    </row>
    <row r="3" spans="1:12" ht="15.75" thickTop="1" x14ac:dyDescent="0.25">
      <c r="A3" s="51"/>
      <c r="B3" s="14"/>
      <c r="C3" s="31"/>
      <c r="D3" s="27"/>
      <c r="E3" s="17"/>
      <c r="F3" s="18"/>
    </row>
    <row r="4" spans="1:12" x14ac:dyDescent="0.25">
      <c r="A4" s="48"/>
      <c r="B4" s="14" t="s">
        <v>17</v>
      </c>
      <c r="C4" s="39"/>
      <c r="D4" s="27"/>
      <c r="E4" s="47"/>
      <c r="F4" s="46"/>
    </row>
    <row r="5" spans="1:12" ht="72.75" customHeight="1" x14ac:dyDescent="0.25">
      <c r="A5" s="25" t="s">
        <v>29</v>
      </c>
      <c r="B5" s="36" t="s">
        <v>49</v>
      </c>
      <c r="C5" s="39"/>
      <c r="D5" s="27"/>
      <c r="E5" s="47"/>
      <c r="F5" s="46"/>
    </row>
    <row r="6" spans="1:12" ht="76.5" x14ac:dyDescent="0.25">
      <c r="A6" s="25" t="s">
        <v>27</v>
      </c>
      <c r="B6" s="36" t="s">
        <v>61</v>
      </c>
      <c r="C6" s="39"/>
      <c r="D6" s="27"/>
      <c r="E6" s="47"/>
      <c r="F6" s="46"/>
    </row>
    <row r="7" spans="1:12" ht="29.25" customHeight="1" x14ac:dyDescent="0.25">
      <c r="A7" s="25" t="s">
        <v>40</v>
      </c>
      <c r="B7" s="36" t="s">
        <v>50</v>
      </c>
      <c r="C7" s="39"/>
      <c r="D7" s="27"/>
      <c r="E7" s="47"/>
      <c r="F7" s="46"/>
    </row>
    <row r="8" spans="1:12" ht="33.75" customHeight="1" x14ac:dyDescent="0.25">
      <c r="A8" s="25" t="s">
        <v>38</v>
      </c>
      <c r="B8" s="36" t="s">
        <v>51</v>
      </c>
      <c r="C8" s="15"/>
      <c r="D8" s="16"/>
      <c r="E8" s="17"/>
      <c r="F8" s="18"/>
    </row>
    <row r="9" spans="1:12" ht="27" customHeight="1" x14ac:dyDescent="0.25">
      <c r="A9" s="25" t="s">
        <v>26</v>
      </c>
      <c r="B9" s="36" t="s">
        <v>52</v>
      </c>
      <c r="C9" s="15"/>
      <c r="D9" s="16"/>
      <c r="E9" s="17"/>
      <c r="F9" s="18"/>
    </row>
    <row r="10" spans="1:12" ht="27.75" customHeight="1" x14ac:dyDescent="0.25">
      <c r="A10" s="25" t="s">
        <v>91</v>
      </c>
      <c r="B10" s="36" t="s">
        <v>53</v>
      </c>
      <c r="C10" s="15"/>
      <c r="D10" s="16"/>
      <c r="E10" s="17"/>
      <c r="F10" s="18"/>
    </row>
    <row r="11" spans="1:12" x14ac:dyDescent="0.25">
      <c r="A11" s="19"/>
      <c r="B11" s="165"/>
      <c r="C11" s="166"/>
      <c r="D11" s="167"/>
      <c r="E11" s="168"/>
      <c r="F11" s="169"/>
    </row>
    <row r="12" spans="1:12" x14ac:dyDescent="0.25">
      <c r="A12" s="176">
        <v>4.0999999999999996</v>
      </c>
      <c r="B12" s="264" t="s">
        <v>62</v>
      </c>
      <c r="C12" s="265"/>
      <c r="D12" s="265"/>
      <c r="E12" s="265"/>
      <c r="F12" s="32">
        <f>+SUM(F13:F16)</f>
        <v>0</v>
      </c>
    </row>
    <row r="13" spans="1:12" s="122" customFormat="1" x14ac:dyDescent="0.25">
      <c r="A13" s="61"/>
      <c r="B13" s="2" t="s">
        <v>173</v>
      </c>
      <c r="C13" s="26">
        <v>16.899999999999999</v>
      </c>
      <c r="D13" s="27" t="s">
        <v>114</v>
      </c>
      <c r="E13" s="28"/>
      <c r="F13" s="34">
        <f>IF(E13="",IF(C13="","",C13*E13),C13*E13)</f>
        <v>0</v>
      </c>
      <c r="L13" s="238"/>
    </row>
    <row r="14" spans="1:12" s="122" customFormat="1" x14ac:dyDescent="0.25">
      <c r="A14" s="214"/>
      <c r="B14" s="2" t="s">
        <v>267</v>
      </c>
      <c r="C14" s="21">
        <v>1</v>
      </c>
      <c r="D14" s="22" t="s">
        <v>24</v>
      </c>
      <c r="E14" s="23"/>
      <c r="F14" s="34">
        <f>IF(E14="",IF(C14="","",C14*E14),C14*E14)</f>
        <v>0</v>
      </c>
      <c r="L14" s="238"/>
    </row>
    <row r="15" spans="1:12" s="122" customFormat="1" x14ac:dyDescent="0.25">
      <c r="A15" s="214"/>
      <c r="B15" s="2" t="s">
        <v>268</v>
      </c>
      <c r="C15" s="21">
        <v>1</v>
      </c>
      <c r="D15" s="22" t="s">
        <v>24</v>
      </c>
      <c r="E15" s="23"/>
      <c r="F15" s="34">
        <f>IF(E15="",IF(C15="","",C15*E15),C15*E15)</f>
        <v>0</v>
      </c>
      <c r="L15" s="238"/>
    </row>
    <row r="16" spans="1:12" s="122" customFormat="1" x14ac:dyDescent="0.25">
      <c r="A16" s="214"/>
      <c r="B16" s="239"/>
      <c r="C16" s="21"/>
      <c r="D16" s="22"/>
      <c r="E16" s="23"/>
      <c r="F16" s="215"/>
      <c r="L16" s="238"/>
    </row>
    <row r="17" spans="1:6" x14ac:dyDescent="0.25">
      <c r="A17" s="176">
        <v>4.2</v>
      </c>
      <c r="B17" s="264" t="s">
        <v>63</v>
      </c>
      <c r="C17" s="265"/>
      <c r="D17" s="265"/>
      <c r="E17" s="265"/>
      <c r="F17" s="32">
        <f>F18+F19</f>
        <v>0</v>
      </c>
    </row>
    <row r="18" spans="1:6" ht="25.5" x14ac:dyDescent="0.25">
      <c r="A18" s="200"/>
      <c r="B18" s="201" t="s">
        <v>269</v>
      </c>
      <c r="C18" s="202">
        <v>98.76</v>
      </c>
      <c r="D18" s="173" t="s">
        <v>114</v>
      </c>
      <c r="E18" s="174"/>
      <c r="F18" s="34">
        <f>IF(E18="",IF(C18="","",C18*E18),C18*E18)</f>
        <v>0</v>
      </c>
    </row>
    <row r="19" spans="1:6" x14ac:dyDescent="0.25">
      <c r="A19" s="200"/>
      <c r="B19" s="201" t="s">
        <v>270</v>
      </c>
      <c r="C19" s="202">
        <v>1</v>
      </c>
      <c r="D19" s="173" t="s">
        <v>24</v>
      </c>
      <c r="E19" s="174"/>
      <c r="F19" s="34">
        <f>IF(E19="",IF(C19="","",C19*E19),C19*E19)</f>
        <v>0</v>
      </c>
    </row>
    <row r="20" spans="1:6" x14ac:dyDescent="0.25">
      <c r="A20" s="200"/>
      <c r="B20" s="201"/>
      <c r="C20" s="202"/>
      <c r="D20" s="173"/>
      <c r="E20" s="174"/>
      <c r="F20" s="34"/>
    </row>
    <row r="21" spans="1:6" x14ac:dyDescent="0.25">
      <c r="A21" s="176">
        <v>4.3</v>
      </c>
      <c r="B21" s="264" t="s">
        <v>263</v>
      </c>
      <c r="C21" s="265"/>
      <c r="D21" s="265"/>
      <c r="E21" s="265"/>
      <c r="F21" s="32">
        <f>F22+F23</f>
        <v>0</v>
      </c>
    </row>
    <row r="22" spans="1:6" ht="25.5" x14ac:dyDescent="0.25">
      <c r="A22" s="200"/>
      <c r="B22" s="201" t="s">
        <v>271</v>
      </c>
      <c r="C22" s="202">
        <f>0.83*4*14.85</f>
        <v>49.302</v>
      </c>
      <c r="D22" s="173" t="s">
        <v>114</v>
      </c>
      <c r="E22" s="174"/>
      <c r="F22" s="34">
        <f>IF(E22="",IF(C22="","",C22*E22),C22*E22)</f>
        <v>0</v>
      </c>
    </row>
    <row r="23" spans="1:6" x14ac:dyDescent="0.25">
      <c r="A23" s="200"/>
      <c r="B23" s="201" t="s">
        <v>272</v>
      </c>
      <c r="C23" s="202">
        <v>1</v>
      </c>
      <c r="D23" s="173" t="s">
        <v>24</v>
      </c>
      <c r="E23" s="174"/>
      <c r="F23" s="34">
        <f>IF(E23="",IF(C23="","",C23*E23),C23*E23)</f>
        <v>0</v>
      </c>
    </row>
    <row r="24" spans="1:6" x14ac:dyDescent="0.25">
      <c r="A24" s="200"/>
      <c r="B24" s="201" t="s">
        <v>312</v>
      </c>
      <c r="C24" s="202">
        <v>1</v>
      </c>
      <c r="D24" s="173" t="s">
        <v>24</v>
      </c>
      <c r="E24" s="174"/>
      <c r="F24" s="34"/>
    </row>
    <row r="25" spans="1:6" x14ac:dyDescent="0.25">
      <c r="A25" s="200"/>
      <c r="B25" s="201"/>
      <c r="C25" s="202"/>
      <c r="D25" s="173"/>
      <c r="E25" s="174"/>
      <c r="F25" s="34"/>
    </row>
    <row r="26" spans="1:6" x14ac:dyDescent="0.25">
      <c r="A26" s="200"/>
      <c r="B26" s="201"/>
      <c r="C26" s="202"/>
      <c r="D26" s="173"/>
      <c r="E26" s="174"/>
      <c r="F26" s="34"/>
    </row>
    <row r="27" spans="1:6" x14ac:dyDescent="0.25">
      <c r="A27" s="145"/>
      <c r="B27" s="146"/>
      <c r="C27" s="146"/>
      <c r="D27" s="146"/>
      <c r="E27" s="146"/>
      <c r="F27" s="147" t="s">
        <v>180</v>
      </c>
    </row>
  </sheetData>
  <mergeCells count="4">
    <mergeCell ref="B17:E17"/>
    <mergeCell ref="B2:E2"/>
    <mergeCell ref="B12:E12"/>
    <mergeCell ref="B21:E21"/>
  </mergeCells>
  <pageMargins left="0.7" right="0.7" top="0.75" bottom="0.75" header="0.3" footer="0.3"/>
  <pageSetup paperSize="9" scale="85"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BreakPreview" zoomScale="85" zoomScaleNormal="100" zoomScaleSheetLayoutView="85" workbookViewId="0">
      <selection activeCell="H15" sqref="H15"/>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8" x14ac:dyDescent="0.25">
      <c r="A1" s="5" t="s">
        <v>11</v>
      </c>
      <c r="B1" s="6" t="s">
        <v>12</v>
      </c>
      <c r="C1" s="7" t="s">
        <v>13</v>
      </c>
      <c r="D1" s="8" t="s">
        <v>14</v>
      </c>
      <c r="E1" s="6" t="s">
        <v>121</v>
      </c>
      <c r="F1" s="9" t="s">
        <v>15</v>
      </c>
    </row>
    <row r="2" spans="1:8" ht="15.75" thickBot="1" x14ac:dyDescent="0.3">
      <c r="A2" s="10">
        <v>5</v>
      </c>
      <c r="B2" s="262" t="s">
        <v>16</v>
      </c>
      <c r="C2" s="263"/>
      <c r="D2" s="263"/>
      <c r="E2" s="263"/>
      <c r="F2" s="11"/>
    </row>
    <row r="3" spans="1:8" ht="15.75" thickTop="1" x14ac:dyDescent="0.25">
      <c r="A3" s="13"/>
      <c r="B3" s="14" t="s">
        <v>17</v>
      </c>
      <c r="C3" s="15"/>
      <c r="D3" s="16"/>
      <c r="E3" s="17"/>
      <c r="F3" s="18"/>
    </row>
    <row r="4" spans="1:8" ht="204" x14ac:dyDescent="0.25">
      <c r="A4" s="19" t="s">
        <v>29</v>
      </c>
      <c r="B4" s="20" t="s">
        <v>54</v>
      </c>
      <c r="C4" s="21"/>
      <c r="D4" s="22"/>
      <c r="E4" s="23"/>
      <c r="F4" s="24"/>
    </row>
    <row r="5" spans="1:8" ht="45.95" customHeight="1" x14ac:dyDescent="0.25">
      <c r="A5" s="25" t="s">
        <v>27</v>
      </c>
      <c r="B5" s="2" t="s">
        <v>18</v>
      </c>
      <c r="C5" s="26"/>
      <c r="D5" s="27"/>
      <c r="E5" s="28"/>
      <c r="F5" s="29"/>
    </row>
    <row r="6" spans="1:8" ht="44.45" customHeight="1" x14ac:dyDescent="0.25">
      <c r="A6" s="25" t="s">
        <v>40</v>
      </c>
      <c r="B6" s="2" t="s">
        <v>19</v>
      </c>
      <c r="C6" s="26"/>
      <c r="D6" s="27"/>
      <c r="E6" s="28"/>
      <c r="F6" s="29"/>
    </row>
    <row r="7" spans="1:8" ht="32.1" customHeight="1" x14ac:dyDescent="0.25">
      <c r="A7" s="25" t="s">
        <v>38</v>
      </c>
      <c r="B7" s="2" t="s">
        <v>20</v>
      </c>
      <c r="C7" s="26"/>
      <c r="D7" s="27"/>
      <c r="E7" s="28"/>
      <c r="F7" s="29"/>
    </row>
    <row r="8" spans="1:8" x14ac:dyDescent="0.25">
      <c r="A8" s="205"/>
      <c r="B8" s="206"/>
      <c r="C8" s="207"/>
      <c r="D8" s="22"/>
      <c r="E8" s="168"/>
      <c r="F8" s="169"/>
    </row>
    <row r="9" spans="1:8" x14ac:dyDescent="0.25">
      <c r="A9" s="176">
        <v>5.0999999999999996</v>
      </c>
      <c r="B9" s="267" t="s">
        <v>62</v>
      </c>
      <c r="C9" s="268"/>
      <c r="D9" s="268"/>
      <c r="E9" s="268"/>
      <c r="F9" s="32">
        <f>SUM(F12:F14)</f>
        <v>0</v>
      </c>
    </row>
    <row r="10" spans="1:8" x14ac:dyDescent="0.25">
      <c r="A10" s="170"/>
      <c r="B10" s="171"/>
      <c r="C10" s="172"/>
      <c r="D10" s="173"/>
      <c r="E10" s="174"/>
      <c r="F10" s="175"/>
    </row>
    <row r="11" spans="1:8" x14ac:dyDescent="0.25">
      <c r="A11" s="60">
        <v>1</v>
      </c>
      <c r="B11" s="14" t="s">
        <v>22</v>
      </c>
      <c r="C11" s="15"/>
      <c r="D11" s="16"/>
      <c r="E11" s="17"/>
      <c r="F11" s="34" t="str">
        <f>IF(E11="","",C11*E11)</f>
        <v/>
      </c>
    </row>
    <row r="12" spans="1:8" ht="38.25" x14ac:dyDescent="0.25">
      <c r="A12" s="25"/>
      <c r="B12" s="36" t="s">
        <v>273</v>
      </c>
      <c r="C12" s="26">
        <f>1.81*4.35*4</f>
        <v>31.494</v>
      </c>
      <c r="D12" s="27" t="s">
        <v>114</v>
      </c>
      <c r="E12" s="28"/>
      <c r="F12" s="34">
        <f>IF(E12="",IF(C12="","",C12*E12),C12*E12)</f>
        <v>0</v>
      </c>
    </row>
    <row r="13" spans="1:8" ht="38.25" x14ac:dyDescent="0.25">
      <c r="A13" s="35"/>
      <c r="B13" s="36" t="s">
        <v>274</v>
      </c>
      <c r="C13" s="26">
        <f>37.123*4.35</f>
        <v>161.48504999999997</v>
      </c>
      <c r="D13" s="27" t="s">
        <v>114</v>
      </c>
      <c r="E13" s="28"/>
      <c r="F13" s="34">
        <f t="shared" ref="F13:F14" si="0">IF(E13="",IF(C13="","",C13*E13),C13*E13)</f>
        <v>0</v>
      </c>
    </row>
    <row r="14" spans="1:8" x14ac:dyDescent="0.25">
      <c r="A14" s="35"/>
      <c r="B14" s="36" t="s">
        <v>275</v>
      </c>
      <c r="C14" s="26">
        <f>76.401*2.375</f>
        <v>181.45237499999999</v>
      </c>
      <c r="D14" s="27" t="s">
        <v>114</v>
      </c>
      <c r="E14" s="28"/>
      <c r="F14" s="34">
        <f t="shared" si="0"/>
        <v>0</v>
      </c>
      <c r="H14">
        <f>+C14/2.375</f>
        <v>76.400999999999996</v>
      </c>
    </row>
    <row r="15" spans="1:8" x14ac:dyDescent="0.25">
      <c r="A15" s="35"/>
      <c r="B15" s="36"/>
      <c r="C15" s="26"/>
      <c r="D15" s="27"/>
      <c r="E15" s="28"/>
      <c r="F15" s="34"/>
    </row>
    <row r="16" spans="1:8" x14ac:dyDescent="0.25">
      <c r="A16" s="35"/>
      <c r="B16" s="36"/>
      <c r="C16" s="37"/>
      <c r="D16" s="27"/>
      <c r="E16" s="38"/>
      <c r="F16" s="34"/>
    </row>
    <row r="17" spans="1:6" x14ac:dyDescent="0.25">
      <c r="A17" s="176">
        <v>5.2</v>
      </c>
      <c r="B17" s="267" t="s">
        <v>282</v>
      </c>
      <c r="C17" s="268"/>
      <c r="D17" s="268"/>
      <c r="E17" s="268"/>
      <c r="F17" s="32">
        <f>SUM(F20:F22)</f>
        <v>0</v>
      </c>
    </row>
    <row r="18" spans="1:6" x14ac:dyDescent="0.25">
      <c r="A18" s="170"/>
      <c r="B18" s="171"/>
      <c r="C18" s="172"/>
      <c r="D18" s="173"/>
      <c r="E18" s="174"/>
      <c r="F18" s="175"/>
    </row>
    <row r="19" spans="1:6" x14ac:dyDescent="0.25">
      <c r="A19" s="60">
        <v>3</v>
      </c>
      <c r="B19" s="14" t="s">
        <v>22</v>
      </c>
      <c r="C19" s="15"/>
      <c r="D19" s="16"/>
      <c r="E19" s="17"/>
      <c r="F19" s="34" t="str">
        <f>IF(E19="","",C19*E19)</f>
        <v/>
      </c>
    </row>
    <row r="20" spans="1:6" ht="38.25" x14ac:dyDescent="0.25">
      <c r="A20" s="25"/>
      <c r="B20" s="36" t="s">
        <v>273</v>
      </c>
      <c r="C20" s="26">
        <f>1.81*4.35*2</f>
        <v>15.747</v>
      </c>
      <c r="D20" s="27" t="s">
        <v>114</v>
      </c>
      <c r="E20" s="28"/>
      <c r="F20" s="34">
        <f>IF(E20="",IF(C20="","",C20*E20),C20*E20)</f>
        <v>0</v>
      </c>
    </row>
    <row r="21" spans="1:6" ht="38.25" x14ac:dyDescent="0.25">
      <c r="A21" s="35"/>
      <c r="B21" s="36" t="s">
        <v>274</v>
      </c>
      <c r="C21" s="26">
        <f>3.093*2*4.35</f>
        <v>26.909099999999999</v>
      </c>
      <c r="D21" s="27" t="s">
        <v>114</v>
      </c>
      <c r="E21" s="28"/>
      <c r="F21" s="34">
        <f t="shared" ref="F21:F22" si="1">IF(E21="",IF(C21="","",C21*E21),C21*E21)</f>
        <v>0</v>
      </c>
    </row>
    <row r="22" spans="1:6" ht="38.25" x14ac:dyDescent="0.25">
      <c r="A22" s="35"/>
      <c r="B22" s="36" t="s">
        <v>276</v>
      </c>
      <c r="C22" s="26">
        <f>8.11*2*1.2</f>
        <v>19.463999999999999</v>
      </c>
      <c r="D22" s="27" t="s">
        <v>114</v>
      </c>
      <c r="E22" s="28"/>
      <c r="F22" s="34">
        <f t="shared" si="1"/>
        <v>0</v>
      </c>
    </row>
    <row r="23" spans="1:6" x14ac:dyDescent="0.25">
      <c r="A23" s="35"/>
      <c r="B23" s="36"/>
      <c r="C23" s="37"/>
      <c r="D23" s="27"/>
      <c r="E23" s="38"/>
      <c r="F23" s="34"/>
    </row>
    <row r="24" spans="1:6" ht="12" customHeight="1" x14ac:dyDescent="0.25">
      <c r="A24" s="61"/>
      <c r="B24" s="2"/>
      <c r="C24" s="45"/>
      <c r="D24" s="27"/>
      <c r="E24" s="28"/>
      <c r="F24" s="34"/>
    </row>
    <row r="25" spans="1:6" x14ac:dyDescent="0.25">
      <c r="A25" s="145"/>
      <c r="B25" s="146"/>
      <c r="C25" s="146"/>
      <c r="D25" s="146"/>
      <c r="E25" s="146"/>
      <c r="F25" s="147" t="s">
        <v>181</v>
      </c>
    </row>
  </sheetData>
  <mergeCells count="3">
    <mergeCell ref="B2:E2"/>
    <mergeCell ref="B9:E9"/>
    <mergeCell ref="B17:E17"/>
  </mergeCells>
  <phoneticPr fontId="11" type="noConversion"/>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BreakPreview" zoomScale="90" zoomScaleNormal="85" zoomScaleSheetLayoutView="90" workbookViewId="0">
      <selection activeCell="A20" sqref="A20"/>
    </sheetView>
  </sheetViews>
  <sheetFormatPr defaultRowHeight="15" outlineLevelRow="1" x14ac:dyDescent="0.25"/>
  <cols>
    <col min="1" max="1" width="4.5703125" bestFit="1" customWidth="1"/>
    <col min="2" max="2" width="42.85546875" customWidth="1"/>
    <col min="3" max="3" width="5.85546875" customWidth="1"/>
    <col min="4" max="4" width="6.85546875" customWidth="1"/>
    <col min="5" max="5" width="12.85546875" bestFit="1" customWidth="1"/>
    <col min="6" max="6" width="16.42578125" customWidth="1"/>
  </cols>
  <sheetData>
    <row r="1" spans="1:6" x14ac:dyDescent="0.25">
      <c r="A1" s="5" t="s">
        <v>11</v>
      </c>
      <c r="B1" s="6" t="s">
        <v>12</v>
      </c>
      <c r="C1" s="7" t="s">
        <v>13</v>
      </c>
      <c r="D1" s="8" t="s">
        <v>14</v>
      </c>
      <c r="E1" s="6" t="s">
        <v>121</v>
      </c>
      <c r="F1" s="9" t="s">
        <v>15</v>
      </c>
    </row>
    <row r="2" spans="1:6" s="52" customFormat="1" thickBot="1" x14ac:dyDescent="0.25">
      <c r="A2" s="10">
        <v>6</v>
      </c>
      <c r="B2" s="253" t="s">
        <v>55</v>
      </c>
      <c r="C2" s="254"/>
      <c r="D2" s="254"/>
      <c r="E2" s="254"/>
      <c r="F2" s="11"/>
    </row>
    <row r="3" spans="1:6" s="44" customFormat="1" ht="13.5" outlineLevel="1" thickTop="1" x14ac:dyDescent="0.2">
      <c r="A3" s="48"/>
      <c r="B3" s="14" t="s">
        <v>17</v>
      </c>
      <c r="C3" s="39"/>
      <c r="D3" s="27"/>
      <c r="E3" s="47"/>
      <c r="F3" s="46"/>
    </row>
    <row r="4" spans="1:6" s="44" customFormat="1" ht="51" outlineLevel="1" x14ac:dyDescent="0.2">
      <c r="A4" s="25" t="s">
        <v>29</v>
      </c>
      <c r="B4" s="36" t="s">
        <v>28</v>
      </c>
      <c r="C4" s="39"/>
      <c r="D4" s="27"/>
      <c r="E4" s="47"/>
      <c r="F4" s="46"/>
    </row>
    <row r="5" spans="1:6" s="44" customFormat="1" ht="63.75" outlineLevel="1" x14ac:dyDescent="0.2">
      <c r="A5" s="25" t="s">
        <v>27</v>
      </c>
      <c r="B5" s="36" t="s">
        <v>58</v>
      </c>
      <c r="C5" s="39"/>
      <c r="D5" s="27"/>
      <c r="E5" s="47"/>
      <c r="F5" s="46"/>
    </row>
    <row r="6" spans="1:6" s="50" customFormat="1" ht="25.5" outlineLevel="1" x14ac:dyDescent="0.2">
      <c r="A6" s="25" t="s">
        <v>40</v>
      </c>
      <c r="B6" s="36" t="s">
        <v>25</v>
      </c>
      <c r="C6" s="15"/>
      <c r="D6" s="16"/>
      <c r="E6" s="17"/>
      <c r="F6" s="18"/>
    </row>
    <row r="7" spans="1:6" s="50" customFormat="1" ht="12.75" outlineLevel="1" x14ac:dyDescent="0.2">
      <c r="A7" s="19"/>
      <c r="B7" s="165"/>
      <c r="C7" s="166"/>
      <c r="D7" s="167"/>
      <c r="E7" s="168"/>
      <c r="F7" s="169"/>
    </row>
    <row r="8" spans="1:6" s="49" customFormat="1" ht="12.75" x14ac:dyDescent="0.2">
      <c r="A8" s="176">
        <v>6.1</v>
      </c>
      <c r="B8" s="267" t="s">
        <v>62</v>
      </c>
      <c r="C8" s="268"/>
      <c r="D8" s="268"/>
      <c r="E8" s="268"/>
      <c r="F8" s="32">
        <f>SUM(F9:F18)</f>
        <v>0</v>
      </c>
    </row>
    <row r="9" spans="1:6" x14ac:dyDescent="0.25">
      <c r="A9" s="210"/>
      <c r="B9" s="173" t="s">
        <v>115</v>
      </c>
      <c r="C9" s="211">
        <v>6</v>
      </c>
      <c r="D9" s="173" t="s">
        <v>10</v>
      </c>
      <c r="E9" s="174"/>
      <c r="F9" s="34">
        <f t="shared" ref="F9:F18" si="0">IF(E9="",IF(C9="","",C9*E9),C9*E9)</f>
        <v>0</v>
      </c>
    </row>
    <row r="10" spans="1:6" x14ac:dyDescent="0.25">
      <c r="A10" s="160"/>
      <c r="B10" s="173" t="s">
        <v>116</v>
      </c>
      <c r="C10" s="37">
        <v>4</v>
      </c>
      <c r="D10" s="173" t="s">
        <v>10</v>
      </c>
      <c r="E10" s="28"/>
      <c r="F10" s="34">
        <f t="shared" si="0"/>
        <v>0</v>
      </c>
    </row>
    <row r="11" spans="1:6" x14ac:dyDescent="0.25">
      <c r="A11" s="160"/>
      <c r="B11" s="27" t="s">
        <v>277</v>
      </c>
      <c r="C11" s="37">
        <v>2</v>
      </c>
      <c r="D11" s="173" t="s">
        <v>10</v>
      </c>
      <c r="E11" s="28"/>
      <c r="F11" s="34">
        <f t="shared" si="0"/>
        <v>0</v>
      </c>
    </row>
    <row r="12" spans="1:6" x14ac:dyDescent="0.25">
      <c r="A12" s="160"/>
      <c r="B12" s="27" t="s">
        <v>278</v>
      </c>
      <c r="C12" s="37">
        <v>1</v>
      </c>
      <c r="D12" s="173" t="s">
        <v>10</v>
      </c>
      <c r="E12" s="28"/>
      <c r="F12" s="34">
        <f t="shared" ref="F12:F17" si="1">IF(E12="",IF(C12="","",C12*E12),C12*E12)</f>
        <v>0</v>
      </c>
    </row>
    <row r="13" spans="1:6" x14ac:dyDescent="0.25">
      <c r="A13" s="160"/>
      <c r="B13" s="27" t="s">
        <v>117</v>
      </c>
      <c r="C13" s="37">
        <v>5</v>
      </c>
      <c r="D13" s="173" t="s">
        <v>10</v>
      </c>
      <c r="E13" s="28"/>
      <c r="F13" s="34">
        <f t="shared" si="1"/>
        <v>0</v>
      </c>
    </row>
    <row r="14" spans="1:6" x14ac:dyDescent="0.25">
      <c r="A14" s="160"/>
      <c r="B14" s="27" t="s">
        <v>215</v>
      </c>
      <c r="C14" s="37">
        <v>2</v>
      </c>
      <c r="D14" s="173" t="s">
        <v>10</v>
      </c>
      <c r="E14" s="28"/>
      <c r="F14" s="34">
        <f t="shared" si="1"/>
        <v>0</v>
      </c>
    </row>
    <row r="15" spans="1:6" x14ac:dyDescent="0.25">
      <c r="A15" s="160"/>
      <c r="B15" s="27" t="s">
        <v>279</v>
      </c>
      <c r="C15" s="37">
        <v>1</v>
      </c>
      <c r="D15" s="173" t="s">
        <v>10</v>
      </c>
      <c r="E15" s="28"/>
      <c r="F15" s="34">
        <f t="shared" si="1"/>
        <v>0</v>
      </c>
    </row>
    <row r="16" spans="1:6" x14ac:dyDescent="0.25">
      <c r="A16" s="160"/>
      <c r="B16" s="27" t="s">
        <v>280</v>
      </c>
      <c r="C16" s="37">
        <v>1</v>
      </c>
      <c r="D16" s="173" t="s">
        <v>10</v>
      </c>
      <c r="E16" s="28"/>
      <c r="F16" s="34">
        <f t="shared" si="1"/>
        <v>0</v>
      </c>
    </row>
    <row r="17" spans="1:8" x14ac:dyDescent="0.25">
      <c r="A17" s="160"/>
      <c r="B17" s="27" t="s">
        <v>281</v>
      </c>
      <c r="C17" s="37">
        <v>1</v>
      </c>
      <c r="D17" s="173" t="s">
        <v>10</v>
      </c>
      <c r="E17" s="28"/>
      <c r="F17" s="34">
        <f t="shared" si="1"/>
        <v>0</v>
      </c>
    </row>
    <row r="18" spans="1:8" s="53" customFormat="1" x14ac:dyDescent="0.25">
      <c r="A18" s="160"/>
      <c r="B18" s="228"/>
      <c r="C18" s="229"/>
      <c r="D18" s="228"/>
      <c r="E18" s="28"/>
      <c r="F18" s="34" t="str">
        <f t="shared" si="0"/>
        <v/>
      </c>
      <c r="G18" s="54"/>
      <c r="H18" s="54"/>
    </row>
    <row r="19" spans="1:8" s="49" customFormat="1" ht="12.75" x14ac:dyDescent="0.2">
      <c r="A19" s="176">
        <v>6.2</v>
      </c>
      <c r="B19" s="267" t="s">
        <v>282</v>
      </c>
      <c r="C19" s="268"/>
      <c r="D19" s="268"/>
      <c r="E19" s="268"/>
      <c r="F19" s="32">
        <f>SUM(F20:F23)</f>
        <v>0</v>
      </c>
    </row>
    <row r="20" spans="1:8" x14ac:dyDescent="0.25">
      <c r="A20" s="160"/>
      <c r="B20" s="27" t="s">
        <v>117</v>
      </c>
      <c r="C20" s="37">
        <v>6</v>
      </c>
      <c r="D20" s="173" t="s">
        <v>10</v>
      </c>
      <c r="E20" s="28"/>
      <c r="F20" s="34">
        <f t="shared" ref="F20:F23" si="2">IF(E20="",IF(C20="","",C20*E20),C20*E20)</f>
        <v>0</v>
      </c>
    </row>
    <row r="21" spans="1:8" x14ac:dyDescent="0.25">
      <c r="A21" s="160"/>
      <c r="B21" s="27" t="s">
        <v>279</v>
      </c>
      <c r="C21" s="37">
        <v>2</v>
      </c>
      <c r="D21" s="173" t="s">
        <v>10</v>
      </c>
      <c r="E21" s="28"/>
      <c r="F21" s="34">
        <f t="shared" si="2"/>
        <v>0</v>
      </c>
    </row>
    <row r="22" spans="1:8" x14ac:dyDescent="0.25">
      <c r="A22" s="160"/>
      <c r="B22" s="27" t="s">
        <v>283</v>
      </c>
      <c r="C22" s="37">
        <v>13</v>
      </c>
      <c r="D22" s="173" t="s">
        <v>10</v>
      </c>
      <c r="E22" s="28"/>
      <c r="F22" s="34">
        <f t="shared" si="2"/>
        <v>0</v>
      </c>
    </row>
    <row r="23" spans="1:8" s="53" customFormat="1" x14ac:dyDescent="0.25">
      <c r="A23" s="160"/>
      <c r="B23" s="228"/>
      <c r="C23" s="229"/>
      <c r="D23" s="228"/>
      <c r="E23" s="28"/>
      <c r="F23" s="34" t="str">
        <f t="shared" si="2"/>
        <v/>
      </c>
      <c r="G23" s="54"/>
      <c r="H23" s="54"/>
    </row>
    <row r="24" spans="1:8" x14ac:dyDescent="0.25">
      <c r="A24" s="145"/>
      <c r="B24" s="146"/>
      <c r="C24" s="146"/>
      <c r="D24" s="146"/>
      <c r="E24" s="146"/>
      <c r="F24" s="147" t="s">
        <v>182</v>
      </c>
    </row>
    <row r="28" spans="1:8" s="40" customFormat="1" ht="11.25" x14ac:dyDescent="0.2">
      <c r="A28" s="42"/>
      <c r="B28" s="43"/>
      <c r="G28" s="41"/>
    </row>
  </sheetData>
  <mergeCells count="3">
    <mergeCell ref="B2:E2"/>
    <mergeCell ref="B8:E8"/>
    <mergeCell ref="B19:E19"/>
  </mergeCells>
  <phoneticPr fontId="11" type="noConversion"/>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Normal="85" zoomScaleSheetLayoutView="100" workbookViewId="0">
      <selection activeCell="C16" sqref="C16"/>
    </sheetView>
  </sheetViews>
  <sheetFormatPr defaultRowHeight="15" outlineLevelRow="1" x14ac:dyDescent="0.25"/>
  <cols>
    <col min="1" max="1" width="4.5703125" bestFit="1" customWidth="1"/>
    <col min="2" max="2" width="42.85546875" customWidth="1"/>
    <col min="3" max="3" width="11" bestFit="1" customWidth="1"/>
    <col min="4" max="4" width="5.7109375" customWidth="1"/>
    <col min="5" max="5" width="13.140625" customWidth="1"/>
    <col min="6" max="6" width="13.42578125" customWidth="1"/>
  </cols>
  <sheetData>
    <row r="1" spans="1:6" x14ac:dyDescent="0.25">
      <c r="A1" s="5" t="s">
        <v>11</v>
      </c>
      <c r="B1" s="6" t="s">
        <v>12</v>
      </c>
      <c r="C1" s="7" t="s">
        <v>13</v>
      </c>
      <c r="D1" s="8" t="s">
        <v>14</v>
      </c>
      <c r="E1" s="6" t="s">
        <v>138</v>
      </c>
      <c r="F1" s="9" t="s">
        <v>15</v>
      </c>
    </row>
    <row r="2" spans="1:6" s="52" customFormat="1" thickBot="1" x14ac:dyDescent="0.25">
      <c r="A2" s="10">
        <v>7</v>
      </c>
      <c r="B2" s="262" t="s">
        <v>133</v>
      </c>
      <c r="C2" s="263"/>
      <c r="D2" s="263"/>
      <c r="E2" s="263"/>
      <c r="F2" s="11"/>
    </row>
    <row r="3" spans="1:6" s="44" customFormat="1" ht="13.5" outlineLevel="1" thickTop="1" x14ac:dyDescent="0.2">
      <c r="A3" s="48"/>
      <c r="B3" s="14" t="s">
        <v>17</v>
      </c>
      <c r="C3" s="106"/>
      <c r="D3" s="27"/>
      <c r="E3" s="28"/>
      <c r="F3" s="29"/>
    </row>
    <row r="4" spans="1:6" s="44" customFormat="1" ht="76.5" outlineLevel="1" x14ac:dyDescent="0.2">
      <c r="A4" s="25" t="s">
        <v>29</v>
      </c>
      <c r="B4" s="36" t="s">
        <v>134</v>
      </c>
      <c r="C4" s="106"/>
      <c r="D4" s="27"/>
      <c r="E4" s="28"/>
      <c r="F4" s="29"/>
    </row>
    <row r="5" spans="1:6" s="44" customFormat="1" ht="25.5" outlineLevel="1" x14ac:dyDescent="0.2">
      <c r="A5" s="25" t="s">
        <v>27</v>
      </c>
      <c r="B5" s="36" t="s">
        <v>135</v>
      </c>
      <c r="C5" s="106"/>
      <c r="D5" s="27"/>
      <c r="E5" s="28"/>
      <c r="F5" s="29"/>
    </row>
    <row r="6" spans="1:6" s="50" customFormat="1" ht="25.5" outlineLevel="1" x14ac:dyDescent="0.2">
      <c r="A6" s="25" t="s">
        <v>40</v>
      </c>
      <c r="B6" s="36" t="s">
        <v>136</v>
      </c>
      <c r="C6" s="106"/>
      <c r="D6" s="27"/>
      <c r="E6" s="28"/>
      <c r="F6" s="29"/>
    </row>
    <row r="7" spans="1:6" s="50" customFormat="1" ht="12.75" outlineLevel="1" x14ac:dyDescent="0.2">
      <c r="A7" s="205"/>
      <c r="B7" s="206"/>
      <c r="C7" s="207"/>
      <c r="D7" s="22"/>
      <c r="E7" s="168"/>
      <c r="F7" s="169"/>
    </row>
    <row r="8" spans="1:6" s="49" customFormat="1" ht="12.75" x14ac:dyDescent="0.2">
      <c r="A8" s="176">
        <v>7.1</v>
      </c>
      <c r="B8" s="264" t="s">
        <v>62</v>
      </c>
      <c r="C8" s="265"/>
      <c r="D8" s="265"/>
      <c r="E8" s="265"/>
      <c r="F8" s="32">
        <f>+SUM(F10:F11)</f>
        <v>0</v>
      </c>
    </row>
    <row r="9" spans="1:6" x14ac:dyDescent="0.25">
      <c r="A9" s="208"/>
      <c r="B9" s="84"/>
      <c r="C9" s="209"/>
      <c r="D9" s="173"/>
      <c r="E9" s="80"/>
      <c r="F9" s="34" t="str">
        <f>IF(E9="","",C9*E9)</f>
        <v/>
      </c>
    </row>
    <row r="10" spans="1:6" s="49" customFormat="1" ht="12.75" x14ac:dyDescent="0.2">
      <c r="A10" s="103"/>
      <c r="B10" s="36" t="s">
        <v>223</v>
      </c>
      <c r="C10" s="104">
        <f>(('BILL 5 MASONRY AND PLASTERING'!C12+'BILL 5 MASONRY AND PLASTERING'!C13+'BILL 5 MASONRY AND PLASTERING'!C14)*2)+(4.272*8*4.375)</f>
        <v>898.38284999999996</v>
      </c>
      <c r="D10" s="27" t="s">
        <v>114</v>
      </c>
      <c r="E10" s="28"/>
      <c r="F10" s="34">
        <f>IF(E10="",IF(C10="","",C10*E10),C10*E10)</f>
        <v>0</v>
      </c>
    </row>
    <row r="11" spans="1:6" x14ac:dyDescent="0.25">
      <c r="A11" s="103"/>
      <c r="B11" s="36" t="s">
        <v>137</v>
      </c>
      <c r="C11" s="104">
        <v>243.79</v>
      </c>
      <c r="D11" s="27" t="s">
        <v>114</v>
      </c>
      <c r="E11" s="28"/>
      <c r="F11" s="34">
        <f>IF(E11="",IF(C11="","",C11*E11),C11*E11)</f>
        <v>0</v>
      </c>
    </row>
    <row r="12" spans="1:6" x14ac:dyDescent="0.25">
      <c r="A12" s="103"/>
      <c r="B12" s="36"/>
      <c r="C12" s="104"/>
      <c r="D12" s="27"/>
      <c r="E12" s="28"/>
      <c r="F12" s="34"/>
    </row>
    <row r="13" spans="1:6" s="49" customFormat="1" ht="12.75" x14ac:dyDescent="0.2">
      <c r="A13" s="176">
        <v>7.2</v>
      </c>
      <c r="B13" s="264" t="s">
        <v>282</v>
      </c>
      <c r="C13" s="265"/>
      <c r="D13" s="265"/>
      <c r="E13" s="265"/>
      <c r="F13" s="32">
        <f>+SUM(F15:F20)</f>
        <v>0</v>
      </c>
    </row>
    <row r="14" spans="1:6" x14ac:dyDescent="0.25">
      <c r="A14" s="208"/>
      <c r="B14" s="84"/>
      <c r="C14" s="209"/>
      <c r="D14" s="173"/>
      <c r="E14" s="80"/>
      <c r="F14" s="34" t="str">
        <f>IF(E14="","",C14*E14)</f>
        <v/>
      </c>
    </row>
    <row r="15" spans="1:6" s="49" customFormat="1" ht="12.75" x14ac:dyDescent="0.2">
      <c r="A15" s="103"/>
      <c r="B15" s="36" t="s">
        <v>223</v>
      </c>
      <c r="C15" s="104">
        <f>(('BILL 5 MASONRY AND PLASTERING'!C22+'BILL 5 MASONRY AND PLASTERING'!C21+'BILL 5 MASONRY AND PLASTERING'!C20)*2)+(4.272*8*4.375)</f>
        <v>273.7602</v>
      </c>
      <c r="D15" s="27" t="s">
        <v>114</v>
      </c>
      <c r="E15" s="28"/>
      <c r="F15" s="34">
        <f>IF(E15="",IF(C15="","",C15*E15),C15*E15)</f>
        <v>0</v>
      </c>
    </row>
    <row r="16" spans="1:6" x14ac:dyDescent="0.25">
      <c r="A16" s="103"/>
      <c r="B16" s="36" t="s">
        <v>137</v>
      </c>
      <c r="C16" s="104">
        <v>293.66000000000003</v>
      </c>
      <c r="D16" s="27" t="s">
        <v>114</v>
      </c>
      <c r="E16" s="28"/>
      <c r="F16" s="34">
        <f>IF(E16="",IF(C16="","",C16*E16),C16*E16)</f>
        <v>0</v>
      </c>
    </row>
    <row r="17" spans="1:6" x14ac:dyDescent="0.25">
      <c r="A17" s="103"/>
      <c r="B17" s="36"/>
      <c r="C17" s="104"/>
      <c r="D17" s="27"/>
      <c r="E17" s="28"/>
      <c r="F17" s="34"/>
    </row>
    <row r="18" spans="1:6" x14ac:dyDescent="0.25">
      <c r="A18" s="103"/>
      <c r="B18" s="36"/>
      <c r="C18" s="104"/>
      <c r="D18" s="27"/>
      <c r="E18" s="28"/>
      <c r="F18" s="34"/>
    </row>
    <row r="19" spans="1:6" x14ac:dyDescent="0.25">
      <c r="A19" s="103"/>
      <c r="B19" s="36"/>
      <c r="C19" s="104"/>
      <c r="D19" s="27"/>
      <c r="E19" s="28"/>
      <c r="F19" s="34"/>
    </row>
    <row r="20" spans="1:6" x14ac:dyDescent="0.25">
      <c r="A20" s="103"/>
      <c r="B20" s="36"/>
      <c r="C20" s="45"/>
      <c r="D20" s="27"/>
      <c r="E20" s="55"/>
      <c r="F20" s="34" t="str">
        <f>IF(E20="",IF(C20="","",C20*E20),C20*E20)</f>
        <v/>
      </c>
    </row>
    <row r="21" spans="1:6" x14ac:dyDescent="0.25">
      <c r="A21" s="145"/>
      <c r="B21" s="146"/>
      <c r="C21" s="146"/>
      <c r="D21" s="146"/>
      <c r="E21" s="146"/>
      <c r="F21" s="147" t="s">
        <v>183</v>
      </c>
    </row>
    <row r="25" spans="1:6" s="40" customFormat="1" ht="11.25" x14ac:dyDescent="0.2">
      <c r="A25" s="42"/>
      <c r="B25" s="43"/>
      <c r="F25" s="41"/>
    </row>
  </sheetData>
  <mergeCells count="3">
    <mergeCell ref="B2:E2"/>
    <mergeCell ref="B8:E8"/>
    <mergeCell ref="B13:E13"/>
  </mergeCells>
  <pageMargins left="0.7" right="0.7" top="0.75" bottom="0.75" header="0.3" footer="0.3"/>
  <pageSetup paperSize="9" scale="85"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21</vt:i4>
      </vt:variant>
    </vt:vector>
  </HeadingPairs>
  <TitlesOfParts>
    <vt:vector size="36" baseType="lpstr">
      <vt:lpstr>GRAND SUMMARY</vt:lpstr>
      <vt:lpstr>GENERAL SUMMARY </vt:lpstr>
      <vt:lpstr>BILL 1 PRELIMINARIES</vt:lpstr>
      <vt:lpstr>BILL 2 WORKS BELOW GROUND</vt:lpstr>
      <vt:lpstr>BILL 3 CONCRETE WORKS</vt:lpstr>
      <vt:lpstr>BILL4 METAL AND CARPENTRY WORKS</vt:lpstr>
      <vt:lpstr>BILL 5 MASONRY AND PLASTERING</vt:lpstr>
      <vt:lpstr>Bill 6 DOORS AND WINDOWS</vt:lpstr>
      <vt:lpstr>Bill 7 PAINTING WORKS</vt:lpstr>
      <vt:lpstr>Bill 8 FLOOR FINISHES</vt:lpstr>
      <vt:lpstr>BILL 09 HYDRAULICS AND DRAINAGE</vt:lpstr>
      <vt:lpstr>BILL 10 ELECTRICAL INSTALLATION</vt:lpstr>
      <vt:lpstr>BILL 11 MECHANICAL SYSTEMS</vt:lpstr>
      <vt:lpstr>BILL 12 Additions</vt:lpstr>
      <vt:lpstr>BILL 13 Omissions</vt:lpstr>
      <vt:lpstr>'BILL 09 HYDRAULICS AND DRAINAGE'!Print_Area</vt:lpstr>
      <vt:lpstr>'BILL 1 PRELIMINARIES'!Print_Area</vt:lpstr>
      <vt:lpstr>'BILL 10 ELECTRICAL INSTALLATION'!Print_Area</vt:lpstr>
      <vt:lpstr>'BILL 11 MECHANICAL SYSTEMS'!Print_Area</vt:lpstr>
      <vt:lpstr>'BILL 12 Additions'!Print_Area</vt:lpstr>
      <vt:lpstr>'BILL 13 Omissions'!Print_Area</vt:lpstr>
      <vt:lpstr>'BILL 2 WORKS BELOW GROUND'!Print_Area</vt:lpstr>
      <vt:lpstr>'BILL 3 CONCRETE WORKS'!Print_Area</vt:lpstr>
      <vt:lpstr>'BILL 5 MASONRY AND PLASTERING'!Print_Area</vt:lpstr>
      <vt:lpstr>'Bill 6 DOORS AND WINDOWS'!Print_Area</vt:lpstr>
      <vt:lpstr>'Bill 7 PAINTING WORKS'!Print_Area</vt:lpstr>
      <vt:lpstr>'Bill 8 FLOOR FINISHES'!Print_Area</vt:lpstr>
      <vt:lpstr>'BILL4 METAL AND CARPENTRY WORKS'!Print_Area</vt:lpstr>
      <vt:lpstr>'BILL 09 HYDRAULICS AND DRAINAGE'!Print_Titles</vt:lpstr>
      <vt:lpstr>'BILL 10 ELECTRICAL INSTALLATION'!Print_Titles</vt:lpstr>
      <vt:lpstr>'BILL 11 MECHANICAL SYSTEMS'!Print_Titles</vt:lpstr>
      <vt:lpstr>'BILL 2 WORKS BELOW GROUND'!Print_Titles</vt:lpstr>
      <vt:lpstr>'BILL 3 CONCRETE WORKS'!Print_Titles</vt:lpstr>
      <vt:lpstr>'BILL4 METAL AND CARPENTRY WORKS'!Print_Titles</vt:lpstr>
      <vt:lpstr>'GENERAL SUMMARY '!Print_Titles</vt:lpstr>
      <vt:lpstr>'GRAND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Mohamed Nishaam</cp:lastModifiedBy>
  <cp:lastPrinted>2019-08-04T09:48:49Z</cp:lastPrinted>
  <dcterms:created xsi:type="dcterms:W3CDTF">2013-12-06T11:25:47Z</dcterms:created>
  <dcterms:modified xsi:type="dcterms:W3CDTF">2020-03-05T07:39:41Z</dcterms:modified>
</cp:coreProperties>
</file>