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mc:AlternateContent xmlns:mc="http://schemas.openxmlformats.org/markup-compatibility/2006">
    <mc:Choice Requires="x15">
      <x15ac:absPath xmlns:x15ac="http://schemas.microsoft.com/office/spreadsheetml/2010/11/ac" url="C:\Users\mohamed.zihan\Desktop\masjid\"/>
    </mc:Choice>
  </mc:AlternateContent>
  <xr:revisionPtr revIDLastSave="0" documentId="13_ncr:1_{B9B31843-0925-4CF5-98E3-A8A991182107}" xr6:coauthVersionLast="45" xr6:coauthVersionMax="45" xr10:uidLastSave="{00000000-0000-0000-0000-000000000000}"/>
  <bookViews>
    <workbookView xWindow="28680" yWindow="-120" windowWidth="29040" windowHeight="15840" tabRatio="818" xr2:uid="{00000000-000D-0000-FFFF-FFFF00000000}"/>
  </bookViews>
  <sheets>
    <sheet name="GRAND SUMMARY" sheetId="45" r:id="rId1"/>
    <sheet name="GENERAL SUMMARY " sheetId="38" r:id="rId2"/>
    <sheet name="BILL 1 PRELIMINARIES" sheetId="35" r:id="rId3"/>
    <sheet name="BILL 2 WORKS BELOW GROUND" sheetId="36" r:id="rId4"/>
    <sheet name="BILL 3 CONCRETE WORKS" sheetId="37" r:id="rId5"/>
    <sheet name="BILL4 METAL AND CARPENTRY WORKS" sheetId="14" r:id="rId6"/>
    <sheet name="BILL 5 MASONRY AND PLASTERING" sheetId="4" r:id="rId7"/>
    <sheet name="Bill 6 DOORS AND WINDOWS" sheetId="7" r:id="rId8"/>
    <sheet name="Bill 7 PAINTING WORKS" sheetId="42" r:id="rId9"/>
    <sheet name="Bill 8 FLOOR FINISHES" sheetId="43" r:id="rId10"/>
    <sheet name="BILL 09 HYDRAULICS AND DRAINAGE" sheetId="9" r:id="rId11"/>
    <sheet name="BILL 10 ELECTRICAL INSTALLATION" sheetId="10" r:id="rId12"/>
    <sheet name="BILL 11 MECHANICAL SYSTEMS" sheetId="41" r:id="rId13"/>
    <sheet name="BILL 12 Additions" sheetId="46" r:id="rId14"/>
    <sheet name="BILL 13 Omissions" sheetId="48" r:id="rId15"/>
  </sheets>
  <definedNames>
    <definedName name="ddd">#REF!</definedName>
    <definedName name="FLOORFINISHES" localSheetId="13">#REF!</definedName>
    <definedName name="FLOORFINISHES" localSheetId="14">#REF!</definedName>
    <definedName name="FLOORFINISHES" localSheetId="0">#REF!</definedName>
    <definedName name="FLOORFINISHES">#REF!</definedName>
    <definedName name="markup" localSheetId="12">#REF!</definedName>
    <definedName name="markup" localSheetId="13">#REF!</definedName>
    <definedName name="markup" localSheetId="14">#REF!</definedName>
    <definedName name="markup" localSheetId="8">#REF!</definedName>
    <definedName name="markup" localSheetId="9">#REF!</definedName>
    <definedName name="markup" localSheetId="0">#REF!</definedName>
    <definedName name="markup">#REF!</definedName>
    <definedName name="_xlnm.Print_Area" localSheetId="10">'BILL 09 HYDRAULICS AND DRAINAGE'!$A$1:$F$36</definedName>
    <definedName name="_xlnm.Print_Area" localSheetId="2">'BILL 1 PRELIMINARIES'!$A$1:$F$29</definedName>
    <definedName name="_xlnm.Print_Area" localSheetId="11">'BILL 10 ELECTRICAL INSTALLATION'!$A$1:$F$73</definedName>
    <definedName name="_xlnm.Print_Area" localSheetId="12">'BILL 11 MECHANICAL SYSTEMS'!$A$1:$F$17</definedName>
    <definedName name="_xlnm.Print_Area" localSheetId="13">'BILL 12 Additions'!$A$1:$F$58</definedName>
    <definedName name="_xlnm.Print_Area" localSheetId="14">'BILL 13 Omissions'!$A$1:$F$58</definedName>
    <definedName name="_xlnm.Print_Area" localSheetId="3">'BILL 2 WORKS BELOW GROUND'!$A$1:$F$22</definedName>
    <definedName name="_xlnm.Print_Area" localSheetId="4">'BILL 3 CONCRETE WORKS'!$A$1:$F$351</definedName>
    <definedName name="_xlnm.Print_Area" localSheetId="6">'BILL 5 MASONRY AND PLASTERING'!$A$1:$F$24</definedName>
    <definedName name="_xlnm.Print_Area" localSheetId="7">'Bill 6 DOORS AND WINDOWS'!$A$1:$F$24</definedName>
    <definedName name="_xlnm.Print_Area" localSheetId="8">'Bill 7 PAINTING WORKS'!$A$1:$F$17</definedName>
    <definedName name="_xlnm.Print_Area" localSheetId="9">'Bill 8 FLOOR FINISHES'!$A$1:$F$21</definedName>
    <definedName name="_xlnm.Print_Area" localSheetId="5">'BILL4 METAL AND CARPENTRY WORKS'!$A$1:$F$27</definedName>
    <definedName name="_xlnm.Print_Titles" localSheetId="10">'BILL 09 HYDRAULICS AND DRAINAGE'!$1:$2</definedName>
    <definedName name="_xlnm.Print_Titles" localSheetId="11">'BILL 10 ELECTRICAL INSTALLATION'!$1:$2</definedName>
    <definedName name="_xlnm.Print_Titles" localSheetId="12">'BILL 11 MECHANICAL SYSTEMS'!$1:$2</definedName>
    <definedName name="_xlnm.Print_Titles" localSheetId="3">'BILL 2 WORKS BELOW GROUND'!$1:$2</definedName>
    <definedName name="_xlnm.Print_Titles" localSheetId="4">'BILL 3 CONCRETE WORKS'!$1:$2</definedName>
    <definedName name="_xlnm.Print_Titles" localSheetId="5">'BILL4 METAL AND CARPENTRY WORKS'!$1:$2</definedName>
    <definedName name="_xlnm.Print_Titles" localSheetId="1">'GENERAL SUMMARY '!$A:$B</definedName>
    <definedName name="_xlnm.Print_Titles" localSheetId="0">'GRAND SUMMARY'!$A:$B</definedName>
    <definedName name="wastage" localSheetId="12">#REF!</definedName>
    <definedName name="wastage" localSheetId="13">#REF!</definedName>
    <definedName name="wastage" localSheetId="14">#REF!</definedName>
    <definedName name="wastage" localSheetId="8">#REF!</definedName>
    <definedName name="wastage" localSheetId="9">#REF!</definedName>
    <definedName name="wastage" localSheetId="0">#REF!</definedName>
    <definedName name="wastage">#REF!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5" i="38" l="1"/>
  <c r="M14" i="38"/>
  <c r="L16" i="38"/>
  <c r="L15" i="38"/>
  <c r="L14" i="38"/>
  <c r="K16" i="38"/>
  <c r="K14" i="38"/>
  <c r="J15" i="38"/>
  <c r="J14" i="38"/>
  <c r="I15" i="38"/>
  <c r="I14" i="38"/>
  <c r="H15" i="38"/>
  <c r="H14" i="38"/>
  <c r="G15" i="38"/>
  <c r="G14" i="38"/>
  <c r="F16" i="38"/>
  <c r="F17" i="38"/>
  <c r="F14" i="38"/>
  <c r="E17" i="38"/>
  <c r="E16" i="38"/>
  <c r="E15" i="38"/>
  <c r="E14" i="38"/>
  <c r="E13" i="38"/>
  <c r="E12" i="38"/>
  <c r="D12" i="38"/>
  <c r="F5" i="36"/>
  <c r="F2" i="35"/>
  <c r="C12" i="38"/>
  <c r="F12" i="41"/>
  <c r="F7" i="41"/>
  <c r="F64" i="10"/>
  <c r="F44" i="10"/>
  <c r="F11" i="10"/>
  <c r="F10" i="9"/>
  <c r="F30" i="9"/>
  <c r="F15" i="43"/>
  <c r="F8" i="43"/>
  <c r="F8" i="42"/>
  <c r="F12" i="42"/>
  <c r="F8" i="7"/>
  <c r="F19" i="7"/>
  <c r="F9" i="4"/>
  <c r="F16" i="4"/>
  <c r="F14" i="37"/>
  <c r="F61" i="37"/>
  <c r="F149" i="37"/>
  <c r="F265" i="37"/>
  <c r="F320" i="37"/>
  <c r="F12" i="36"/>
  <c r="F15" i="41"/>
  <c r="F14" i="41"/>
  <c r="F71" i="10"/>
  <c r="F70" i="10"/>
  <c r="F69" i="10"/>
  <c r="F68" i="10"/>
  <c r="F67" i="10"/>
  <c r="F66" i="10"/>
  <c r="F62" i="10"/>
  <c r="F61" i="10"/>
  <c r="F60" i="10"/>
  <c r="F59" i="10"/>
  <c r="F58" i="10"/>
  <c r="F57" i="10"/>
  <c r="F56" i="10"/>
  <c r="F55" i="10"/>
  <c r="F54" i="10"/>
  <c r="F53" i="10"/>
  <c r="F52" i="10"/>
  <c r="F51" i="10"/>
  <c r="F50" i="10"/>
  <c r="F49" i="10"/>
  <c r="F48" i="10"/>
  <c r="F47" i="10"/>
  <c r="F46" i="10"/>
  <c r="F34" i="9"/>
  <c r="F33" i="9"/>
  <c r="F32" i="9"/>
  <c r="N322" i="37"/>
  <c r="K323" i="37"/>
  <c r="K322" i="37"/>
  <c r="J322" i="37"/>
  <c r="J323" i="37"/>
  <c r="J320" i="37"/>
  <c r="C323" i="37"/>
  <c r="F325" i="37"/>
  <c r="F324" i="37"/>
  <c r="F323" i="37"/>
  <c r="F322" i="37"/>
  <c r="C10" i="42"/>
  <c r="C14" i="42"/>
  <c r="F14" i="42" s="1"/>
  <c r="C14" i="43"/>
  <c r="F13" i="43"/>
  <c r="F14" i="43"/>
  <c r="F18" i="43"/>
  <c r="F17" i="43"/>
  <c r="F16" i="43"/>
  <c r="F15" i="42"/>
  <c r="F13" i="42"/>
  <c r="F23" i="7"/>
  <c r="F22" i="7"/>
  <c r="F21" i="7"/>
  <c r="F20" i="7"/>
  <c r="F13" i="7" l="1"/>
  <c r="F14" i="7"/>
  <c r="F15" i="7"/>
  <c r="F16" i="7"/>
  <c r="F17" i="7"/>
  <c r="F12" i="7"/>
  <c r="C21" i="4"/>
  <c r="C20" i="4"/>
  <c r="C19" i="4"/>
  <c r="F21" i="4"/>
  <c r="F20" i="4"/>
  <c r="F19" i="4"/>
  <c r="F18" i="4"/>
  <c r="C14" i="4"/>
  <c r="F14" i="4" s="1"/>
  <c r="C13" i="4"/>
  <c r="F13" i="4"/>
  <c r="C12" i="4"/>
  <c r="F12" i="14"/>
  <c r="F15" i="14"/>
  <c r="F17" i="14"/>
  <c r="F19" i="14"/>
  <c r="F23" i="14"/>
  <c r="F21" i="14" s="1"/>
  <c r="C22" i="14"/>
  <c r="F22" i="14"/>
  <c r="N267" i="37"/>
  <c r="M267" i="37"/>
  <c r="L267" i="37"/>
  <c r="K267" i="37"/>
  <c r="J268" i="37"/>
  <c r="J265" i="37"/>
  <c r="K264" i="37"/>
  <c r="K59" i="37"/>
  <c r="C31" i="37"/>
  <c r="P19" i="37"/>
  <c r="O19" i="37"/>
  <c r="L28" i="37"/>
  <c r="L27" i="37"/>
  <c r="M27" i="37" s="1"/>
  <c r="T27" i="37"/>
  <c r="T26" i="37"/>
  <c r="T25" i="37"/>
  <c r="F33" i="37"/>
  <c r="F32" i="37"/>
  <c r="F31" i="37"/>
  <c r="K30" i="37"/>
  <c r="L30" i="37" s="1"/>
  <c r="F30" i="37"/>
  <c r="K29" i="37"/>
  <c r="L29" i="37" s="1"/>
  <c r="N29" i="37" s="1"/>
  <c r="O29" i="37" s="1"/>
  <c r="P29" i="37" s="1"/>
  <c r="F29" i="37"/>
  <c r="M28" i="37"/>
  <c r="F28" i="37"/>
  <c r="F27" i="37"/>
  <c r="F26" i="37"/>
  <c r="Y340" i="37"/>
  <c r="F342" i="37"/>
  <c r="F341" i="37"/>
  <c r="X340" i="37"/>
  <c r="R340" i="37"/>
  <c r="S340" i="37" s="1"/>
  <c r="C340" i="37" s="1"/>
  <c r="F340" i="37" s="1"/>
  <c r="M340" i="37"/>
  <c r="C343" i="37" s="1"/>
  <c r="F343" i="37" s="1"/>
  <c r="L340" i="37"/>
  <c r="C337" i="37" s="1"/>
  <c r="F337" i="37" s="1"/>
  <c r="F338" i="37"/>
  <c r="F336" i="37"/>
  <c r="F333" i="37"/>
  <c r="J329" i="37"/>
  <c r="F331" i="37"/>
  <c r="B330" i="37"/>
  <c r="W330" i="37"/>
  <c r="X330" i="37" s="1"/>
  <c r="Y330" i="37" s="1"/>
  <c r="S330" i="37"/>
  <c r="R330" i="37"/>
  <c r="O330" i="37"/>
  <c r="M330" i="37"/>
  <c r="N330" i="37" s="1"/>
  <c r="F329" i="37"/>
  <c r="F327" i="37"/>
  <c r="B327" i="37"/>
  <c r="C147" i="37"/>
  <c r="F147" i="37" s="1"/>
  <c r="C143" i="37"/>
  <c r="F143" i="37" s="1"/>
  <c r="L142" i="37"/>
  <c r="M142" i="37" s="1"/>
  <c r="L143" i="37"/>
  <c r="M143" i="37" s="1"/>
  <c r="L136" i="37"/>
  <c r="M136" i="37" s="1"/>
  <c r="F146" i="37"/>
  <c r="M145" i="37"/>
  <c r="M146" i="37" s="1"/>
  <c r="K145" i="37"/>
  <c r="F145" i="37"/>
  <c r="F144" i="37"/>
  <c r="F142" i="37"/>
  <c r="F141" i="37"/>
  <c r="M138" i="37"/>
  <c r="M139" i="37" s="1"/>
  <c r="L135" i="37"/>
  <c r="M135" i="37" s="1"/>
  <c r="K138" i="37"/>
  <c r="F140" i="37"/>
  <c r="F139" i="37"/>
  <c r="F138" i="37"/>
  <c r="F137" i="37"/>
  <c r="F136" i="37"/>
  <c r="F135" i="37"/>
  <c r="F134" i="37"/>
  <c r="C41" i="37"/>
  <c r="F41" i="37" s="1"/>
  <c r="F39" i="37"/>
  <c r="C36" i="37"/>
  <c r="F36" i="37" s="1"/>
  <c r="T36" i="37"/>
  <c r="U36" i="37" s="1"/>
  <c r="S38" i="37"/>
  <c r="T38" i="37" s="1"/>
  <c r="S37" i="37"/>
  <c r="T37" i="37" s="1"/>
  <c r="T35" i="37"/>
  <c r="U35" i="37" s="1"/>
  <c r="L36" i="37"/>
  <c r="M36" i="37" s="1"/>
  <c r="L35" i="37"/>
  <c r="M35" i="37" s="1"/>
  <c r="F40" i="37"/>
  <c r="K38" i="37"/>
  <c r="L38" i="37" s="1"/>
  <c r="F38" i="37"/>
  <c r="K37" i="37"/>
  <c r="L37" i="37" s="1"/>
  <c r="F37" i="37"/>
  <c r="F35" i="37"/>
  <c r="F34" i="37"/>
  <c r="C318" i="37"/>
  <c r="F318" i="37" s="1"/>
  <c r="O314" i="37"/>
  <c r="P314" i="37" s="1"/>
  <c r="O313" i="37"/>
  <c r="P313" i="37" s="1"/>
  <c r="L313" i="37"/>
  <c r="F317" i="37"/>
  <c r="K316" i="37"/>
  <c r="F316" i="37"/>
  <c r="F315" i="37"/>
  <c r="F314" i="37"/>
  <c r="F313" i="37"/>
  <c r="I298" i="37"/>
  <c r="M298" i="37" s="1"/>
  <c r="I297" i="37"/>
  <c r="M297" i="37" s="1"/>
  <c r="C301" i="37" s="1"/>
  <c r="F301" i="37" s="1"/>
  <c r="I286" i="37"/>
  <c r="X286" i="37" s="1"/>
  <c r="Y286" i="37" s="1"/>
  <c r="Z286" i="37" s="1"/>
  <c r="I287" i="37"/>
  <c r="R287" i="37" s="1"/>
  <c r="S287" i="37" s="1"/>
  <c r="C287" i="37" s="1"/>
  <c r="F287" i="37" s="1"/>
  <c r="I285" i="37"/>
  <c r="M285" i="37" s="1"/>
  <c r="C290" i="37" s="1"/>
  <c r="F290" i="37" s="1"/>
  <c r="F310" i="37"/>
  <c r="F309" i="37"/>
  <c r="X308" i="37"/>
  <c r="Y308" i="37" s="1"/>
  <c r="Z308" i="37" s="1"/>
  <c r="R308" i="37"/>
  <c r="S308" i="37" s="1"/>
  <c r="C308" i="37" s="1"/>
  <c r="F308" i="37" s="1"/>
  <c r="M308" i="37"/>
  <c r="L308" i="37"/>
  <c r="X307" i="37"/>
  <c r="Y307" i="37" s="1"/>
  <c r="Z307" i="37" s="1"/>
  <c r="C306" i="37" s="1"/>
  <c r="F306" i="37" s="1"/>
  <c r="R307" i="37"/>
  <c r="S307" i="37" s="1"/>
  <c r="C307" i="37" s="1"/>
  <c r="F307" i="37" s="1"/>
  <c r="M307" i="37"/>
  <c r="C311" i="37" s="1"/>
  <c r="F311" i="37" s="1"/>
  <c r="L307" i="37"/>
  <c r="C304" i="37" s="1"/>
  <c r="F304" i="37" s="1"/>
  <c r="F305" i="37"/>
  <c r="F303" i="37"/>
  <c r="F302" i="37"/>
  <c r="F300" i="37"/>
  <c r="F299" i="37"/>
  <c r="F295" i="37"/>
  <c r="F293" i="37"/>
  <c r="F292" i="37"/>
  <c r="F291" i="37"/>
  <c r="F289" i="37"/>
  <c r="F288" i="37"/>
  <c r="F283" i="37"/>
  <c r="F281" i="37"/>
  <c r="F279" i="37"/>
  <c r="F278" i="37"/>
  <c r="I277" i="37"/>
  <c r="L277" i="37" s="1"/>
  <c r="I276" i="37"/>
  <c r="X276" i="37" s="1"/>
  <c r="F274" i="37"/>
  <c r="F272" i="37"/>
  <c r="F271" i="37"/>
  <c r="F270" i="37"/>
  <c r="F269" i="37"/>
  <c r="F268" i="37"/>
  <c r="J267" i="37"/>
  <c r="L268" i="37" s="1"/>
  <c r="F267" i="37"/>
  <c r="J152" i="37"/>
  <c r="K152" i="37" s="1"/>
  <c r="J151" i="37"/>
  <c r="K151" i="37" s="1"/>
  <c r="J150" i="37"/>
  <c r="K149" i="37"/>
  <c r="X259" i="37"/>
  <c r="Y259" i="37" s="1"/>
  <c r="Z259" i="37" s="1"/>
  <c r="R259" i="37"/>
  <c r="S259" i="37" s="1"/>
  <c r="C259" i="37" s="1"/>
  <c r="F259" i="37" s="1"/>
  <c r="M259" i="37"/>
  <c r="L259" i="37"/>
  <c r="I249" i="37"/>
  <c r="M249" i="37" s="1"/>
  <c r="I248" i="37"/>
  <c r="X248" i="37" s="1"/>
  <c r="Y248" i="37" s="1"/>
  <c r="Z248" i="37" s="1"/>
  <c r="I237" i="37"/>
  <c r="R237" i="37" s="1"/>
  <c r="S237" i="37" s="1"/>
  <c r="C237" i="37" s="1"/>
  <c r="F237" i="37" s="1"/>
  <c r="I236" i="37"/>
  <c r="M236" i="37" s="1"/>
  <c r="I227" i="37"/>
  <c r="R227" i="37" s="1"/>
  <c r="S227" i="37" s="1"/>
  <c r="C227" i="37" s="1"/>
  <c r="F227" i="37" s="1"/>
  <c r="I235" i="37"/>
  <c r="X235" i="37" s="1"/>
  <c r="Y235" i="37" s="1"/>
  <c r="Z235" i="37" s="1"/>
  <c r="I226" i="37"/>
  <c r="X226" i="37" s="1"/>
  <c r="Y226" i="37" s="1"/>
  <c r="Z226" i="37" s="1"/>
  <c r="F263" i="37"/>
  <c r="F261" i="37"/>
  <c r="F260" i="37"/>
  <c r="X258" i="37"/>
  <c r="Y258" i="37" s="1"/>
  <c r="R258" i="37"/>
  <c r="S258" i="37" s="1"/>
  <c r="C258" i="37" s="1"/>
  <c r="F258" i="37" s="1"/>
  <c r="M258" i="37"/>
  <c r="C262" i="37" s="1"/>
  <c r="F262" i="37" s="1"/>
  <c r="L258" i="37"/>
  <c r="C255" i="37" s="1"/>
  <c r="F255" i="37" s="1"/>
  <c r="F256" i="37"/>
  <c r="F254" i="37"/>
  <c r="F253" i="37"/>
  <c r="F251" i="37"/>
  <c r="F250" i="37"/>
  <c r="X247" i="37"/>
  <c r="Y247" i="37" s="1"/>
  <c r="R247" i="37"/>
  <c r="S247" i="37" s="1"/>
  <c r="C247" i="37" s="1"/>
  <c r="F247" i="37" s="1"/>
  <c r="M247" i="37"/>
  <c r="C252" i="37" s="1"/>
  <c r="F252" i="37" s="1"/>
  <c r="L247" i="37"/>
  <c r="C244" i="37" s="1"/>
  <c r="F244" i="37" s="1"/>
  <c r="F245" i="37"/>
  <c r="F243" i="37"/>
  <c r="F241" i="37"/>
  <c r="F239" i="37"/>
  <c r="F238" i="37"/>
  <c r="F233" i="37"/>
  <c r="F231" i="37"/>
  <c r="F221" i="37"/>
  <c r="F242" i="37"/>
  <c r="F229" i="37"/>
  <c r="F228" i="37"/>
  <c r="F224" i="37"/>
  <c r="F222" i="37"/>
  <c r="F219" i="37"/>
  <c r="F218" i="37"/>
  <c r="F217" i="37"/>
  <c r="D216" i="37"/>
  <c r="C216" i="37"/>
  <c r="F216" i="37" s="1"/>
  <c r="B216" i="37"/>
  <c r="B215" i="37"/>
  <c r="W214" i="37"/>
  <c r="X214" i="37" s="1"/>
  <c r="Y214" i="37" s="1"/>
  <c r="R214" i="37"/>
  <c r="S214" i="37" s="1"/>
  <c r="O214" i="37"/>
  <c r="M214" i="37"/>
  <c r="N214" i="37" s="1"/>
  <c r="W213" i="37"/>
  <c r="X213" i="37" s="1"/>
  <c r="Y213" i="37" s="1"/>
  <c r="C214" i="37" s="1"/>
  <c r="F214" i="37" s="1"/>
  <c r="R213" i="37"/>
  <c r="S213" i="37" s="1"/>
  <c r="C215" i="37" s="1"/>
  <c r="F215" i="37" s="1"/>
  <c r="O213" i="37"/>
  <c r="C220" i="37" s="1"/>
  <c r="F220" i="37" s="1"/>
  <c r="N213" i="37"/>
  <c r="C212" i="37" s="1"/>
  <c r="F212" i="37" s="1"/>
  <c r="F213" i="37"/>
  <c r="F211" i="37"/>
  <c r="B211" i="37"/>
  <c r="F210" i="37"/>
  <c r="F208" i="37"/>
  <c r="F207" i="37"/>
  <c r="F206" i="37"/>
  <c r="D205" i="37"/>
  <c r="C205" i="37"/>
  <c r="F205" i="37" s="1"/>
  <c r="B205" i="37"/>
  <c r="B204" i="37"/>
  <c r="W203" i="37"/>
  <c r="X203" i="37" s="1"/>
  <c r="Y203" i="37" s="1"/>
  <c r="R203" i="37"/>
  <c r="S203" i="37" s="1"/>
  <c r="O203" i="37"/>
  <c r="M203" i="37"/>
  <c r="N203" i="37" s="1"/>
  <c r="W202" i="37"/>
  <c r="X202" i="37" s="1"/>
  <c r="Y202" i="37" s="1"/>
  <c r="C203" i="37" s="1"/>
  <c r="F203" i="37" s="1"/>
  <c r="R202" i="37"/>
  <c r="S202" i="37" s="1"/>
  <c r="C204" i="37" s="1"/>
  <c r="F204" i="37" s="1"/>
  <c r="O202" i="37"/>
  <c r="C209" i="37" s="1"/>
  <c r="F209" i="37" s="1"/>
  <c r="N202" i="37"/>
  <c r="C201" i="37" s="1"/>
  <c r="F201" i="37" s="1"/>
  <c r="F202" i="37"/>
  <c r="F200" i="37"/>
  <c r="B200" i="37"/>
  <c r="F199" i="37"/>
  <c r="F197" i="37"/>
  <c r="F196" i="37"/>
  <c r="F195" i="37"/>
  <c r="D194" i="37"/>
  <c r="C194" i="37"/>
  <c r="F194" i="37" s="1"/>
  <c r="B194" i="37"/>
  <c r="B193" i="37"/>
  <c r="W192" i="37"/>
  <c r="X192" i="37" s="1"/>
  <c r="Y192" i="37" s="1"/>
  <c r="R192" i="37"/>
  <c r="S192" i="37" s="1"/>
  <c r="O192" i="37"/>
  <c r="M192" i="37"/>
  <c r="N192" i="37" s="1"/>
  <c r="W191" i="37"/>
  <c r="X191" i="37" s="1"/>
  <c r="Y191" i="37" s="1"/>
  <c r="C192" i="37" s="1"/>
  <c r="F192" i="37" s="1"/>
  <c r="R191" i="37"/>
  <c r="S191" i="37" s="1"/>
  <c r="C193" i="37" s="1"/>
  <c r="F193" i="37" s="1"/>
  <c r="O191" i="37"/>
  <c r="C198" i="37" s="1"/>
  <c r="F198" i="37" s="1"/>
  <c r="N191" i="37"/>
  <c r="C190" i="37" s="1"/>
  <c r="F190" i="37" s="1"/>
  <c r="F191" i="37"/>
  <c r="F189" i="37"/>
  <c r="B189" i="37"/>
  <c r="F188" i="37"/>
  <c r="F186" i="37"/>
  <c r="F185" i="37"/>
  <c r="F184" i="37"/>
  <c r="D183" i="37"/>
  <c r="C183" i="37"/>
  <c r="F183" i="37" s="1"/>
  <c r="B183" i="37"/>
  <c r="B182" i="37"/>
  <c r="W181" i="37"/>
  <c r="X181" i="37" s="1"/>
  <c r="Y181" i="37" s="1"/>
  <c r="R181" i="37"/>
  <c r="S181" i="37" s="1"/>
  <c r="O181" i="37"/>
  <c r="M181" i="37"/>
  <c r="N181" i="37" s="1"/>
  <c r="W180" i="37"/>
  <c r="X180" i="37" s="1"/>
  <c r="Y180" i="37" s="1"/>
  <c r="C181" i="37" s="1"/>
  <c r="F181" i="37" s="1"/>
  <c r="R180" i="37"/>
  <c r="S180" i="37" s="1"/>
  <c r="C182" i="37" s="1"/>
  <c r="F182" i="37" s="1"/>
  <c r="O180" i="37"/>
  <c r="C187" i="37" s="1"/>
  <c r="F187" i="37" s="1"/>
  <c r="N180" i="37"/>
  <c r="C179" i="37" s="1"/>
  <c r="F179" i="37" s="1"/>
  <c r="F180" i="37"/>
  <c r="F178" i="37"/>
  <c r="B178" i="37"/>
  <c r="F177" i="37"/>
  <c r="F175" i="37"/>
  <c r="F174" i="37"/>
  <c r="F173" i="37"/>
  <c r="D172" i="37"/>
  <c r="C172" i="37"/>
  <c r="F172" i="37" s="1"/>
  <c r="B172" i="37"/>
  <c r="B171" i="37"/>
  <c r="W170" i="37"/>
  <c r="X170" i="37" s="1"/>
  <c r="Y170" i="37" s="1"/>
  <c r="R170" i="37"/>
  <c r="S170" i="37" s="1"/>
  <c r="O170" i="37"/>
  <c r="M170" i="37"/>
  <c r="N170" i="37" s="1"/>
  <c r="W169" i="37"/>
  <c r="X169" i="37" s="1"/>
  <c r="Y169" i="37" s="1"/>
  <c r="C170" i="37" s="1"/>
  <c r="F170" i="37" s="1"/>
  <c r="R169" i="37"/>
  <c r="S169" i="37" s="1"/>
  <c r="C171" i="37" s="1"/>
  <c r="F171" i="37" s="1"/>
  <c r="O169" i="37"/>
  <c r="C176" i="37" s="1"/>
  <c r="F176" i="37" s="1"/>
  <c r="N169" i="37"/>
  <c r="C168" i="37" s="1"/>
  <c r="F168" i="37" s="1"/>
  <c r="F169" i="37"/>
  <c r="F167" i="37"/>
  <c r="B167" i="37"/>
  <c r="F166" i="37"/>
  <c r="F164" i="37"/>
  <c r="F163" i="37"/>
  <c r="F162" i="37"/>
  <c r="D161" i="37"/>
  <c r="C161" i="37"/>
  <c r="F161" i="37" s="1"/>
  <c r="B161" i="37"/>
  <c r="B160" i="37"/>
  <c r="W159" i="37"/>
  <c r="X159" i="37" s="1"/>
  <c r="Y159" i="37" s="1"/>
  <c r="R159" i="37"/>
  <c r="S159" i="37" s="1"/>
  <c r="O159" i="37"/>
  <c r="M159" i="37"/>
  <c r="N159" i="37" s="1"/>
  <c r="W158" i="37"/>
  <c r="X158" i="37" s="1"/>
  <c r="Y158" i="37" s="1"/>
  <c r="C159" i="37" s="1"/>
  <c r="F159" i="37" s="1"/>
  <c r="R158" i="37"/>
  <c r="S158" i="37" s="1"/>
  <c r="C160" i="37" s="1"/>
  <c r="F160" i="37" s="1"/>
  <c r="O158" i="37"/>
  <c r="C165" i="37" s="1"/>
  <c r="F165" i="37" s="1"/>
  <c r="N158" i="37"/>
  <c r="C157" i="37" s="1"/>
  <c r="F157" i="37" s="1"/>
  <c r="F158" i="37"/>
  <c r="F156" i="37"/>
  <c r="B156" i="37"/>
  <c r="F155" i="37"/>
  <c r="F154" i="37"/>
  <c r="F153" i="37"/>
  <c r="F152" i="37"/>
  <c r="F151" i="37"/>
  <c r="W127" i="37"/>
  <c r="X127" i="37" s="1"/>
  <c r="Y127" i="37" s="1"/>
  <c r="R127" i="37"/>
  <c r="S127" i="37" s="1"/>
  <c r="O127" i="37"/>
  <c r="M127" i="37"/>
  <c r="N127" i="37" s="1"/>
  <c r="W126" i="37"/>
  <c r="X126" i="37" s="1"/>
  <c r="Y126" i="37" s="1"/>
  <c r="C127" i="37" s="1"/>
  <c r="F127" i="37" s="1"/>
  <c r="R126" i="37"/>
  <c r="S126" i="37" s="1"/>
  <c r="C128" i="37" s="1"/>
  <c r="F128" i="37" s="1"/>
  <c r="O126" i="37"/>
  <c r="C133" i="37" s="1"/>
  <c r="F133" i="37" s="1"/>
  <c r="N126" i="37"/>
  <c r="C125" i="37" s="1"/>
  <c r="F125" i="37" s="1"/>
  <c r="W116" i="37"/>
  <c r="X116" i="37" s="1"/>
  <c r="Y116" i="37" s="1"/>
  <c r="R116" i="37"/>
  <c r="S116" i="37" s="1"/>
  <c r="O116" i="37"/>
  <c r="M116" i="37"/>
  <c r="N116" i="37" s="1"/>
  <c r="W115" i="37"/>
  <c r="X115" i="37" s="1"/>
  <c r="Y115" i="37" s="1"/>
  <c r="C116" i="37" s="1"/>
  <c r="F116" i="37" s="1"/>
  <c r="R115" i="37"/>
  <c r="S115" i="37" s="1"/>
  <c r="C117" i="37" s="1"/>
  <c r="F117" i="37" s="1"/>
  <c r="O115" i="37"/>
  <c r="C122" i="37" s="1"/>
  <c r="F122" i="37" s="1"/>
  <c r="N115" i="37"/>
  <c r="C114" i="37" s="1"/>
  <c r="F114" i="37" s="1"/>
  <c r="O93" i="37"/>
  <c r="C100" i="37" s="1"/>
  <c r="F100" i="37" s="1"/>
  <c r="F132" i="37"/>
  <c r="F131" i="37"/>
  <c r="F130" i="37"/>
  <c r="D129" i="37"/>
  <c r="C129" i="37"/>
  <c r="F129" i="37" s="1"/>
  <c r="B129" i="37"/>
  <c r="B128" i="37"/>
  <c r="F126" i="37"/>
  <c r="F124" i="37"/>
  <c r="B124" i="37"/>
  <c r="F123" i="37"/>
  <c r="F121" i="37"/>
  <c r="F120" i="37"/>
  <c r="F119" i="37"/>
  <c r="D118" i="37"/>
  <c r="C118" i="37"/>
  <c r="F118" i="37" s="1"/>
  <c r="B118" i="37"/>
  <c r="B117" i="37"/>
  <c r="F115" i="37"/>
  <c r="F113" i="37"/>
  <c r="B113" i="37"/>
  <c r="F112" i="37"/>
  <c r="F110" i="37"/>
  <c r="F109" i="37"/>
  <c r="F108" i="37"/>
  <c r="D107" i="37"/>
  <c r="C107" i="37"/>
  <c r="F107" i="37" s="1"/>
  <c r="B107" i="37"/>
  <c r="B106" i="37"/>
  <c r="W105" i="37"/>
  <c r="X105" i="37" s="1"/>
  <c r="Y105" i="37" s="1"/>
  <c r="R105" i="37"/>
  <c r="S105" i="37" s="1"/>
  <c r="O105" i="37"/>
  <c r="M105" i="37"/>
  <c r="N105" i="37" s="1"/>
  <c r="W104" i="37"/>
  <c r="X104" i="37" s="1"/>
  <c r="R104" i="37"/>
  <c r="S104" i="37" s="1"/>
  <c r="C106" i="37" s="1"/>
  <c r="F106" i="37" s="1"/>
  <c r="O104" i="37"/>
  <c r="C111" i="37" s="1"/>
  <c r="F111" i="37" s="1"/>
  <c r="N104" i="37"/>
  <c r="C103" i="37" s="1"/>
  <c r="F103" i="37" s="1"/>
  <c r="F104" i="37"/>
  <c r="F102" i="37"/>
  <c r="B102" i="37"/>
  <c r="F101" i="37"/>
  <c r="F99" i="37"/>
  <c r="F98" i="37"/>
  <c r="F97" i="37"/>
  <c r="D96" i="37"/>
  <c r="C96" i="37"/>
  <c r="F96" i="37" s="1"/>
  <c r="B96" i="37"/>
  <c r="B95" i="37"/>
  <c r="W94" i="37"/>
  <c r="X94" i="37" s="1"/>
  <c r="Y94" i="37" s="1"/>
  <c r="R94" i="37"/>
  <c r="S94" i="37" s="1"/>
  <c r="O94" i="37"/>
  <c r="M94" i="37"/>
  <c r="N94" i="37" s="1"/>
  <c r="W93" i="37"/>
  <c r="X93" i="37" s="1"/>
  <c r="R93" i="37"/>
  <c r="S93" i="37" s="1"/>
  <c r="C95" i="37" s="1"/>
  <c r="F95" i="37" s="1"/>
  <c r="N93" i="37"/>
  <c r="C92" i="37" s="1"/>
  <c r="F92" i="37" s="1"/>
  <c r="F93" i="37"/>
  <c r="F91" i="37"/>
  <c r="B91" i="37"/>
  <c r="F90" i="37"/>
  <c r="F88" i="37"/>
  <c r="F87" i="37"/>
  <c r="F86" i="37"/>
  <c r="D85" i="37"/>
  <c r="C85" i="37"/>
  <c r="F85" i="37" s="1"/>
  <c r="B85" i="37"/>
  <c r="B84" i="37"/>
  <c r="W83" i="37"/>
  <c r="X83" i="37" s="1"/>
  <c r="Y83" i="37" s="1"/>
  <c r="R83" i="37"/>
  <c r="S83" i="37" s="1"/>
  <c r="O83" i="37"/>
  <c r="M83" i="37"/>
  <c r="N83" i="37" s="1"/>
  <c r="W82" i="37"/>
  <c r="X82" i="37" s="1"/>
  <c r="Y82" i="37" s="1"/>
  <c r="R82" i="37"/>
  <c r="S82" i="37" s="1"/>
  <c r="C84" i="37" s="1"/>
  <c r="F84" i="37" s="1"/>
  <c r="O82" i="37"/>
  <c r="C89" i="37" s="1"/>
  <c r="F89" i="37" s="1"/>
  <c r="N82" i="37"/>
  <c r="C81" i="37" s="1"/>
  <c r="F81" i="37" s="1"/>
  <c r="F82" i="37"/>
  <c r="F80" i="37"/>
  <c r="B80" i="37"/>
  <c r="F79" i="37"/>
  <c r="O71" i="37"/>
  <c r="N71" i="37"/>
  <c r="J64" i="37"/>
  <c r="L63" i="37" s="1"/>
  <c r="J63" i="37"/>
  <c r="K63" i="37" s="1"/>
  <c r="J60" i="37"/>
  <c r="O44" i="37"/>
  <c r="O43" i="37"/>
  <c r="P43" i="37" s="1"/>
  <c r="K43" i="37"/>
  <c r="L43" i="37" s="1"/>
  <c r="F49" i="37"/>
  <c r="F48" i="37"/>
  <c r="F47" i="37"/>
  <c r="F46" i="37"/>
  <c r="F45" i="37"/>
  <c r="F44" i="37"/>
  <c r="F43" i="37"/>
  <c r="J8" i="36"/>
  <c r="J7" i="36"/>
  <c r="J6" i="36"/>
  <c r="C20" i="37"/>
  <c r="R13" i="37"/>
  <c r="R14" i="37" s="1"/>
  <c r="L20" i="37"/>
  <c r="M20" i="37" s="1"/>
  <c r="L19" i="37"/>
  <c r="M19" i="37" s="1"/>
  <c r="Q9" i="37"/>
  <c r="C17" i="37"/>
  <c r="C10" i="36"/>
  <c r="C8" i="36"/>
  <c r="C9" i="36"/>
  <c r="M322" i="37" l="1"/>
  <c r="O322" i="37" s="1"/>
  <c r="N27" i="37"/>
  <c r="O27" i="37" s="1"/>
  <c r="Z340" i="37"/>
  <c r="C339" i="37" s="1"/>
  <c r="F339" i="37" s="1"/>
  <c r="L297" i="37"/>
  <c r="C294" i="37" s="1"/>
  <c r="F294" i="37" s="1"/>
  <c r="R329" i="37"/>
  <c r="S329" i="37" s="1"/>
  <c r="N329" i="37"/>
  <c r="C328" i="37" s="1"/>
  <c r="F328" i="37" s="1"/>
  <c r="W329" i="37"/>
  <c r="O329" i="37"/>
  <c r="C334" i="37" s="1"/>
  <c r="F334" i="37" s="1"/>
  <c r="N19" i="37"/>
  <c r="N142" i="37"/>
  <c r="O142" i="37" s="1"/>
  <c r="N135" i="37"/>
  <c r="O135" i="37" s="1"/>
  <c r="V35" i="37"/>
  <c r="W35" i="37" s="1"/>
  <c r="V37" i="37"/>
  <c r="W37" i="37" s="1"/>
  <c r="X37" i="37" s="1"/>
  <c r="N35" i="37"/>
  <c r="O35" i="37" s="1"/>
  <c r="Q39" i="37" s="1"/>
  <c r="N37" i="37"/>
  <c r="O37" i="37" s="1"/>
  <c r="P37" i="37" s="1"/>
  <c r="Q313" i="37"/>
  <c r="R313" i="37" s="1"/>
  <c r="R298" i="37"/>
  <c r="S298" i="37" s="1"/>
  <c r="C298" i="37" s="1"/>
  <c r="F298" i="37" s="1"/>
  <c r="Y276" i="37"/>
  <c r="Z276" i="37" s="1"/>
  <c r="C275" i="37" s="1"/>
  <c r="F275" i="37" s="1"/>
  <c r="X297" i="37"/>
  <c r="R297" i="37"/>
  <c r="S297" i="37" s="1"/>
  <c r="C297" i="37" s="1"/>
  <c r="F297" i="37" s="1"/>
  <c r="M287" i="37"/>
  <c r="L298" i="37"/>
  <c r="R235" i="37"/>
  <c r="S235" i="37" s="1"/>
  <c r="C235" i="37" s="1"/>
  <c r="F235" i="37" s="1"/>
  <c r="X298" i="37"/>
  <c r="Y298" i="37" s="1"/>
  <c r="Z298" i="37" s="1"/>
  <c r="R285" i="37"/>
  <c r="S285" i="37" s="1"/>
  <c r="C285" i="37" s="1"/>
  <c r="F285" i="37" s="1"/>
  <c r="X285" i="37"/>
  <c r="M277" i="37"/>
  <c r="X249" i="37"/>
  <c r="Y249" i="37" s="1"/>
  <c r="Z249" i="37" s="1"/>
  <c r="R277" i="37"/>
  <c r="S277" i="37" s="1"/>
  <c r="C277" i="37" s="1"/>
  <c r="F277" i="37" s="1"/>
  <c r="L249" i="37"/>
  <c r="L235" i="37"/>
  <c r="C232" i="37" s="1"/>
  <c r="F232" i="37" s="1"/>
  <c r="R286" i="37"/>
  <c r="S286" i="37" s="1"/>
  <c r="C286" i="37" s="1"/>
  <c r="F286" i="37" s="1"/>
  <c r="M235" i="37"/>
  <c r="C240" i="37" s="1"/>
  <c r="F240" i="37" s="1"/>
  <c r="X287" i="37"/>
  <c r="Y287" i="37" s="1"/>
  <c r="Z287" i="37" s="1"/>
  <c r="X227" i="37"/>
  <c r="Y227" i="37" s="1"/>
  <c r="Z227" i="37" s="1"/>
  <c r="L285" i="37"/>
  <c r="C282" i="37" s="1"/>
  <c r="F282" i="37" s="1"/>
  <c r="L276" i="37"/>
  <c r="C273" i="37" s="1"/>
  <c r="F273" i="37" s="1"/>
  <c r="M276" i="37"/>
  <c r="C280" i="37" s="1"/>
  <c r="F280" i="37" s="1"/>
  <c r="R276" i="37"/>
  <c r="S276" i="37" s="1"/>
  <c r="C276" i="37" s="1"/>
  <c r="F276" i="37" s="1"/>
  <c r="X277" i="37"/>
  <c r="Y277" i="37" s="1"/>
  <c r="Z277" i="37" s="1"/>
  <c r="L287" i="37"/>
  <c r="K268" i="37"/>
  <c r="L286" i="37"/>
  <c r="M286" i="37"/>
  <c r="X237" i="37"/>
  <c r="L64" i="37"/>
  <c r="K64" i="37"/>
  <c r="L226" i="37"/>
  <c r="C223" i="37" s="1"/>
  <c r="F223" i="37" s="1"/>
  <c r="R226" i="37"/>
  <c r="S226" i="37" s="1"/>
  <c r="C226" i="37" s="1"/>
  <c r="F226" i="37" s="1"/>
  <c r="L227" i="37"/>
  <c r="M227" i="37"/>
  <c r="R249" i="37"/>
  <c r="S249" i="37" s="1"/>
  <c r="C249" i="37" s="1"/>
  <c r="F249" i="37" s="1"/>
  <c r="Z258" i="37"/>
  <c r="C257" i="37" s="1"/>
  <c r="F257" i="37" s="1"/>
  <c r="X236" i="37"/>
  <c r="Z247" i="37"/>
  <c r="C246" i="37" s="1"/>
  <c r="F246" i="37" s="1"/>
  <c r="L248" i="37"/>
  <c r="M248" i="37"/>
  <c r="R248" i="37"/>
  <c r="S248" i="37" s="1"/>
  <c r="C248" i="37" s="1"/>
  <c r="F248" i="37" s="1"/>
  <c r="C234" i="37"/>
  <c r="F234" i="37" s="1"/>
  <c r="L237" i="37"/>
  <c r="M237" i="37"/>
  <c r="R236" i="37"/>
  <c r="S236" i="37" s="1"/>
  <c r="C236" i="37" s="1"/>
  <c r="F236" i="37" s="1"/>
  <c r="L236" i="37"/>
  <c r="C225" i="37"/>
  <c r="F225" i="37" s="1"/>
  <c r="M226" i="37"/>
  <c r="C230" i="37" s="1"/>
  <c r="F230" i="37" s="1"/>
  <c r="L152" i="37"/>
  <c r="P44" i="37"/>
  <c r="Q43" i="37" s="1"/>
  <c r="R43" i="37" s="1"/>
  <c r="K46" i="37"/>
  <c r="Y93" i="37"/>
  <c r="C94" i="37" s="1"/>
  <c r="F94" i="37" s="1"/>
  <c r="L151" i="37"/>
  <c r="Y104" i="37"/>
  <c r="C105" i="37" s="1"/>
  <c r="F105" i="37" s="1"/>
  <c r="C83" i="37"/>
  <c r="F83" i="37" s="1"/>
  <c r="F14" i="14"/>
  <c r="Y329" i="37" l="1"/>
  <c r="C330" i="37" s="1"/>
  <c r="F330" i="37" s="1"/>
  <c r="X329" i="37"/>
  <c r="Y297" i="37"/>
  <c r="Z297" i="37" s="1"/>
  <c r="C296" i="37" s="1"/>
  <c r="F296" i="37" s="1"/>
  <c r="Y285" i="37"/>
  <c r="Z285" i="37" s="1"/>
  <c r="C284" i="37" s="1"/>
  <c r="F284" i="37" s="1"/>
  <c r="M151" i="37"/>
  <c r="N151" i="37" s="1"/>
  <c r="O151" i="37" s="1"/>
  <c r="O267" i="37"/>
  <c r="Y236" i="37"/>
  <c r="Z236" i="37" s="1"/>
  <c r="Y237" i="37"/>
  <c r="Z237" i="37" s="1"/>
  <c r="C20" i="36" l="1"/>
  <c r="F9" i="41" l="1"/>
  <c r="F10" i="41"/>
  <c r="F11" i="41"/>
  <c r="F12" i="9"/>
  <c r="F13" i="9"/>
  <c r="F14" i="9"/>
  <c r="F15" i="9"/>
  <c r="F16" i="9"/>
  <c r="F17" i="9"/>
  <c r="F18" i="9"/>
  <c r="F19" i="9"/>
  <c r="F20" i="9"/>
  <c r="F21" i="9"/>
  <c r="F22" i="9"/>
  <c r="F23" i="9"/>
  <c r="F24" i="9"/>
  <c r="F25" i="9"/>
  <c r="F26" i="9"/>
  <c r="F28" i="9"/>
  <c r="F10" i="42"/>
  <c r="N55" i="37"/>
  <c r="C58" i="37" s="1"/>
  <c r="F58" i="37" s="1"/>
  <c r="K21" i="37"/>
  <c r="L21" i="37" s="1"/>
  <c r="K22" i="37"/>
  <c r="L22" i="37" s="1"/>
  <c r="S55" i="37"/>
  <c r="T55" i="37" s="1"/>
  <c r="M55" i="37"/>
  <c r="C52" i="37" s="1"/>
  <c r="F52" i="37" s="1"/>
  <c r="Y55" i="37"/>
  <c r="Z55" i="37" s="1"/>
  <c r="AA55" i="37" s="1"/>
  <c r="C54" i="37" s="1"/>
  <c r="F54" i="37" s="1"/>
  <c r="F20" i="35"/>
  <c r="C18" i="38" s="1"/>
  <c r="D10" i="45" s="1"/>
  <c r="F21" i="35"/>
  <c r="F22" i="35"/>
  <c r="F23" i="35"/>
  <c r="F24" i="35"/>
  <c r="F25" i="35"/>
  <c r="F26" i="35"/>
  <c r="F27" i="35"/>
  <c r="F35" i="10"/>
  <c r="F36" i="10"/>
  <c r="F37" i="10"/>
  <c r="F38" i="10"/>
  <c r="F39" i="10"/>
  <c r="F40" i="10"/>
  <c r="F41" i="10"/>
  <c r="F23" i="10"/>
  <c r="F24" i="10"/>
  <c r="F25" i="10"/>
  <c r="F26" i="10"/>
  <c r="F27" i="10"/>
  <c r="F28" i="10"/>
  <c r="F29" i="10"/>
  <c r="F30" i="10"/>
  <c r="F31" i="10"/>
  <c r="F11" i="7"/>
  <c r="F266" i="37"/>
  <c r="F59" i="37"/>
  <c r="F28" i="35"/>
  <c r="F7" i="36"/>
  <c r="F8" i="36"/>
  <c r="F9" i="36"/>
  <c r="F10" i="36"/>
  <c r="F11" i="36"/>
  <c r="F13" i="36"/>
  <c r="F15" i="36"/>
  <c r="F16" i="36"/>
  <c r="F17" i="36"/>
  <c r="F18" i="36"/>
  <c r="F19" i="36"/>
  <c r="F20" i="36"/>
  <c r="F21" i="36"/>
  <c r="F6" i="36"/>
  <c r="F14" i="10"/>
  <c r="F15" i="10"/>
  <c r="F16" i="10"/>
  <c r="F17" i="10"/>
  <c r="F18" i="10"/>
  <c r="F19" i="10"/>
  <c r="F20" i="10"/>
  <c r="F21" i="10"/>
  <c r="F22" i="10"/>
  <c r="F32" i="10"/>
  <c r="F33" i="10"/>
  <c r="F34" i="10"/>
  <c r="F13" i="10"/>
  <c r="F11" i="43"/>
  <c r="F12" i="43"/>
  <c r="F10" i="43"/>
  <c r="F16" i="42"/>
  <c r="F10" i="7"/>
  <c r="F18" i="7"/>
  <c r="F9" i="7"/>
  <c r="F12" i="4"/>
  <c r="F12" i="37"/>
  <c r="F17" i="37"/>
  <c r="F18" i="37"/>
  <c r="F19" i="37"/>
  <c r="F20" i="37"/>
  <c r="F21" i="37"/>
  <c r="F22" i="37"/>
  <c r="F23" i="37"/>
  <c r="F24" i="37"/>
  <c r="F25" i="37"/>
  <c r="F42" i="37"/>
  <c r="F50" i="37"/>
  <c r="F51" i="37"/>
  <c r="F53" i="37"/>
  <c r="F56" i="37"/>
  <c r="F57" i="37"/>
  <c r="F16" i="37"/>
  <c r="F64" i="37"/>
  <c r="F65" i="37"/>
  <c r="F66" i="37"/>
  <c r="F67" i="37"/>
  <c r="F68" i="37"/>
  <c r="F69" i="37"/>
  <c r="F71" i="37"/>
  <c r="F75" i="37"/>
  <c r="F76" i="37"/>
  <c r="F77" i="37"/>
  <c r="F264" i="37"/>
  <c r="F63" i="37"/>
  <c r="F11" i="42"/>
  <c r="F18" i="14"/>
  <c r="F13" i="14"/>
  <c r="D74" i="37"/>
  <c r="B74" i="37"/>
  <c r="B73" i="37"/>
  <c r="W72" i="37"/>
  <c r="X72" i="37" s="1"/>
  <c r="Y72" i="37" s="1"/>
  <c r="R72" i="37"/>
  <c r="S72" i="37" s="1"/>
  <c r="C74" i="37"/>
  <c r="F74" i="37" s="1"/>
  <c r="O72" i="37"/>
  <c r="M72" i="37"/>
  <c r="N72" i="37" s="1"/>
  <c r="W71" i="37"/>
  <c r="R71" i="37"/>
  <c r="S71" i="37" s="1"/>
  <c r="C73" i="37" s="1"/>
  <c r="F73" i="37" s="1"/>
  <c r="C78" i="37"/>
  <c r="F78" i="37" s="1"/>
  <c r="C70" i="37"/>
  <c r="F70" i="37" s="1"/>
  <c r="B69" i="37"/>
  <c r="F5" i="48"/>
  <c r="F6" i="48"/>
  <c r="F7" i="48"/>
  <c r="F8" i="48"/>
  <c r="F9" i="48"/>
  <c r="F10" i="48"/>
  <c r="F11" i="48"/>
  <c r="F12"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F54" i="48"/>
  <c r="F55" i="48"/>
  <c r="F56" i="48"/>
  <c r="F5" i="46"/>
  <c r="F6" i="46"/>
  <c r="F7" i="46"/>
  <c r="F8" i="46"/>
  <c r="F9" i="46"/>
  <c r="F10" i="46"/>
  <c r="F11" i="46"/>
  <c r="F12" i="46"/>
  <c r="F13" i="46"/>
  <c r="F14" i="46"/>
  <c r="F15" i="46"/>
  <c r="F16" i="46"/>
  <c r="F17" i="46"/>
  <c r="F18" i="46"/>
  <c r="F19" i="46"/>
  <c r="F20" i="46"/>
  <c r="F21" i="46"/>
  <c r="F22" i="46"/>
  <c r="F23" i="46"/>
  <c r="F24" i="46"/>
  <c r="F25" i="46"/>
  <c r="F26" i="46"/>
  <c r="F27" i="46"/>
  <c r="F28" i="46"/>
  <c r="F29" i="46"/>
  <c r="F30" i="46"/>
  <c r="F31" i="46"/>
  <c r="F32" i="46"/>
  <c r="F33" i="46"/>
  <c r="F34" i="46"/>
  <c r="F35" i="46"/>
  <c r="F36" i="46"/>
  <c r="F37" i="46"/>
  <c r="F38" i="46"/>
  <c r="F39" i="46"/>
  <c r="F40" i="46"/>
  <c r="F41" i="46"/>
  <c r="F42" i="46"/>
  <c r="F43" i="46"/>
  <c r="F44" i="46"/>
  <c r="F45" i="46"/>
  <c r="F46" i="46"/>
  <c r="F47" i="46"/>
  <c r="F48" i="46"/>
  <c r="F49" i="46"/>
  <c r="F50" i="46"/>
  <c r="F51" i="46"/>
  <c r="F52" i="46"/>
  <c r="F53" i="46"/>
  <c r="F54" i="46"/>
  <c r="F55" i="46"/>
  <c r="F56" i="46"/>
  <c r="F4" i="48"/>
  <c r="F4" i="46"/>
  <c r="F2" i="46" s="1"/>
  <c r="D21" i="45" s="1"/>
  <c r="F2" i="48"/>
  <c r="D22" i="45" s="1"/>
  <c r="F16" i="41"/>
  <c r="F72" i="10"/>
  <c r="F19" i="43"/>
  <c r="F20" i="43"/>
  <c r="F9" i="43"/>
  <c r="F9" i="42"/>
  <c r="F11" i="4"/>
  <c r="A9" i="38"/>
  <c r="A8" i="38"/>
  <c r="A7" i="38"/>
  <c r="L18" i="38" l="1"/>
  <c r="D19" i="45" s="1"/>
  <c r="X71" i="37"/>
  <c r="Y71" i="37" s="1"/>
  <c r="C72" i="37" s="1"/>
  <c r="F72" i="37" s="1"/>
  <c r="M63" i="37"/>
  <c r="N63" i="37" s="1"/>
  <c r="O63" i="37" s="1"/>
  <c r="C55" i="37"/>
  <c r="F55" i="37" s="1"/>
  <c r="N21" i="37"/>
  <c r="O21" i="37" s="1"/>
  <c r="P21" i="37" s="1"/>
  <c r="M18" i="38"/>
  <c r="D20" i="45" s="1"/>
  <c r="H18" i="38"/>
  <c r="D15" i="45" s="1"/>
  <c r="J18" i="38"/>
  <c r="D17" i="45" s="1"/>
  <c r="I18" i="38"/>
  <c r="D16" i="45" s="1"/>
  <c r="K18" i="38"/>
  <c r="D18" i="45" s="1"/>
  <c r="G18" i="38"/>
  <c r="D14" i="45" s="1"/>
  <c r="F18" i="38"/>
  <c r="D13" i="45" s="1"/>
  <c r="D18" i="38"/>
  <c r="D11" i="45" s="1"/>
  <c r="E18" i="38" l="1"/>
  <c r="D12" i="45" s="1"/>
  <c r="D27" i="45" s="1"/>
  <c r="D28" i="45" s="1"/>
  <c r="D29" i="45" s="1"/>
</calcChain>
</file>

<file path=xl/sharedStrings.xml><?xml version="1.0" encoding="utf-8"?>
<sst xmlns="http://schemas.openxmlformats.org/spreadsheetml/2006/main" count="1347" uniqueCount="318">
  <si>
    <t>Reinforcement</t>
  </si>
  <si>
    <t>Formwork</t>
  </si>
  <si>
    <t xml:space="preserve">Steel ring bars  6mm dia </t>
  </si>
  <si>
    <t xml:space="preserve">Steel deformed bars, 12mm dia </t>
  </si>
  <si>
    <t>no</t>
  </si>
  <si>
    <t>PRELIMINARIES</t>
  </si>
  <si>
    <t>Site Management Costs</t>
  </si>
  <si>
    <t>Sign Board</t>
  </si>
  <si>
    <t xml:space="preserve">Clean Up </t>
  </si>
  <si>
    <t>Dewatering</t>
  </si>
  <si>
    <t>nos</t>
  </si>
  <si>
    <t>NO</t>
  </si>
  <si>
    <t>DESCRIPTION</t>
  </si>
  <si>
    <t>QTY</t>
  </si>
  <si>
    <t>UNIT</t>
  </si>
  <si>
    <t>AMOUNT</t>
  </si>
  <si>
    <t xml:space="preserve">MASONRY AND PLASTERING </t>
  </si>
  <si>
    <t>General</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</si>
  <si>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</si>
  <si>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</si>
  <si>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</si>
  <si>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A</t>
  </si>
  <si>
    <t xml:space="preserve">Masonry </t>
  </si>
  <si>
    <r>
      <t>m</t>
    </r>
    <r>
      <rPr>
        <vertAlign val="superscript"/>
        <sz val="10"/>
        <rFont val="Verdana"/>
        <family val="2"/>
      </rPr>
      <t>2</t>
    </r>
  </si>
  <si>
    <t>item</t>
  </si>
  <si>
    <t xml:space="preserve">The contractor shall take delivery and complete installation </t>
  </si>
  <si>
    <t>e</t>
  </si>
  <si>
    <t>b</t>
  </si>
  <si>
    <t>Rates shall include for: Locks (mortise double Locks), Latches, Closers, Bolts, Puch Plates, Pull Handles, Kick Plates, Hinges and all door and window hardware.</t>
  </si>
  <si>
    <t>a</t>
  </si>
  <si>
    <t xml:space="preserve">The contractor shall take delivery and fixing </t>
  </si>
  <si>
    <t>HYDRAULICS AND DRAINAGE</t>
  </si>
  <si>
    <t>Supply and Drainage</t>
  </si>
  <si>
    <t>Plumbing fixtures and accessories</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</si>
  <si>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</si>
  <si>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Lighting and electrical acessories</t>
  </si>
  <si>
    <t>Electrical Wiring</t>
  </si>
  <si>
    <t>Each Light/ light fixture and its switch is measured as one  point; similarly each fan or each socket outlet is measured as one point;</t>
  </si>
  <si>
    <t>d</t>
  </si>
  <si>
    <t>Rates shall include for electrical conduits, fittings, equipment and similar all fixings to various building surfaces</t>
  </si>
  <si>
    <t>c</t>
  </si>
  <si>
    <t>Rates for work in trench shall include for: excavation, maintaining faces of excavations, backfilling, compaction, appropriate cable covers, warning tape and disposal of surplus spoil</t>
  </si>
  <si>
    <t>Rates shall include for: screws, nails, bolts, nuts, standard cable fixing or supporting clips, brackets, straps, rivets, plugs and all incidental accessories</t>
  </si>
  <si>
    <t>ELECTRICAL INSTALLATIONS</t>
  </si>
  <si>
    <t>Electrical wiring with copper conductor cable in conduites in wall and slabs as specified to 2.5mm² wiring to sockets and 1.5mm² wiring to light fixtures, fans and its switches</t>
  </si>
  <si>
    <t>FLOOR FINISHES</t>
  </si>
  <si>
    <t>CONCRTE WORKS</t>
  </si>
  <si>
    <t>MASONRY AND PLASTERING</t>
  </si>
  <si>
    <t>DOORS AND WINDOWS</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</si>
  <si>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</si>
  <si>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</si>
  <si>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</si>
  <si>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</si>
  <si>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</si>
  <si>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</si>
  <si>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DOOR AND WINDOW SCHEDULE</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</si>
  <si>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</si>
  <si>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</si>
  <si>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Locks (mortise double Locks), Latches, Closers, Bolts, Puch Plates and all Doors and windows shall be as specified in drawings and subjected to written approval by the client</t>
  </si>
  <si>
    <t>Lighting fixture and electrical wires and other electrical euquipement such as fans and such shall comply with STELCO standard and all fixtures and fitting shall be subjected to written approval by the client</t>
  </si>
  <si>
    <t>METAL AND CARPENTRY WORKS</t>
  </si>
  <si>
    <t>contractor shall submit for approval shop draings for all ceiling works for apartments including ceilings for bedrooms, sitting rooms and toilets. The ceilings shall be as specified by the dlient and are subjected to written spproval by the client</t>
  </si>
  <si>
    <t>GROUND FLOOR</t>
  </si>
  <si>
    <t>ROOF</t>
  </si>
  <si>
    <t>COMMON WORKS</t>
  </si>
  <si>
    <t>Allow for clean-up of completed works and site upon completion.</t>
  </si>
  <si>
    <t>Allow for sign board.</t>
  </si>
  <si>
    <t>Allow for all on and off site management cost including costs of foreman and assistants, temporary electricity, water supply, hoardings and include for hire equipment, plant, props, etc.</t>
  </si>
  <si>
    <t>thk - thick</t>
  </si>
  <si>
    <t>GI - galvanized iron</t>
  </si>
  <si>
    <t>SS - Stainless steel</t>
  </si>
  <si>
    <t>dia - diameter</t>
  </si>
  <si>
    <t>mm - millimeter</t>
  </si>
  <si>
    <t>incl - including</t>
  </si>
  <si>
    <t>t - tonnes</t>
  </si>
  <si>
    <t>Lm - linear meter</t>
  </si>
  <si>
    <t>m² - square meter</t>
  </si>
  <si>
    <t>M³ - cubic meter</t>
  </si>
  <si>
    <t>No - Numbers</t>
  </si>
  <si>
    <t>m - meter</t>
  </si>
  <si>
    <t>Backfilling and compacting after concrete curing</t>
  </si>
  <si>
    <t>Backfilling</t>
  </si>
  <si>
    <t>Disposal of Excess Sand</t>
  </si>
  <si>
    <r>
      <t>m</t>
    </r>
    <r>
      <rPr>
        <vertAlign val="superscript"/>
        <sz val="10"/>
        <rFont val="Verdana"/>
        <family val="2"/>
      </rPr>
      <t>3</t>
    </r>
  </si>
  <si>
    <t>WORKS BELOW GROUND</t>
  </si>
  <si>
    <t>Allow for concrete testing</t>
  </si>
  <si>
    <t>1)</t>
  </si>
  <si>
    <t>Concrete shall be castes using non-ageed structural steel and cement and such shall be newly puchased for this project and all concrete materials shall be subjected to inspection by the client</t>
  </si>
  <si>
    <t>Mix ratio for concrete shall be 1:2:3; unless stated otherwise</t>
  </si>
  <si>
    <t>h</t>
  </si>
  <si>
    <t>Install slurry type water proofing to top surfaces of balcony slabs and external surfaces of underground concrete work.</t>
  </si>
  <si>
    <t>f</t>
  </si>
  <si>
    <t>All reinforcing bars shall be high strength bars and over lap should be 45 x diameter.</t>
  </si>
  <si>
    <t>Reinforcement rates shall include for: cleaning, fabrication, placing, the provision for all necessary temporary fixings, and supports including tie wire and chair supports, laps, distribution bars, spacer bar  and wastage.</t>
  </si>
  <si>
    <t>Formwork rates shall include for: all necessary boarding, supports, erecting, framing, temporary cambering, cutting, perforations for reinforcing bars, bolts, straps, ties, hangers, pipes and removal of formwork.</t>
  </si>
  <si>
    <t>Concrete quantity is measured to the edges of concrete foundation members. Rates shall be inclusive for any additional concrete required to place the formwork.</t>
  </si>
  <si>
    <t>Rates shall include for: placing in position; making good after removal of formwork and casting in all required items; additional concrete required to conform to structural and excavated tolerances.</t>
  </si>
  <si>
    <t>CONCRETE WORKS</t>
  </si>
  <si>
    <t>Binding Wire</t>
  </si>
  <si>
    <t>Plywood, Nuts Bolts, Screws, Mould oil, and Supports, pvc through beam for threadded bars included in price for formwork</t>
  </si>
  <si>
    <t>Water proofing</t>
  </si>
  <si>
    <t xml:space="preserve">Lean concrete </t>
  </si>
  <si>
    <t>BILL NO 01</t>
  </si>
  <si>
    <t>BILL NO 02</t>
  </si>
  <si>
    <t>BILL NO 03</t>
  </si>
  <si>
    <t>BILL NO 04</t>
  </si>
  <si>
    <t>BILL NO 05</t>
  </si>
  <si>
    <t>BILL NO 06</t>
  </si>
  <si>
    <t>BILL NO 07</t>
  </si>
  <si>
    <t>BILL NO 08</t>
  </si>
  <si>
    <t>BILL NO 10</t>
  </si>
  <si>
    <t>FOUNDATION</t>
  </si>
  <si>
    <t>TOTAL</t>
  </si>
  <si>
    <t>PAINTING WORKS</t>
  </si>
  <si>
    <t>m2</t>
  </si>
  <si>
    <t>D1</t>
  </si>
  <si>
    <t>D2</t>
  </si>
  <si>
    <t>W1</t>
  </si>
  <si>
    <t>MECHANICAL SYSTEMS</t>
  </si>
  <si>
    <t>Mechanical Systems</t>
  </si>
  <si>
    <t>BILL NO 11</t>
  </si>
  <si>
    <t xml:space="preserve"> RATE</t>
  </si>
  <si>
    <t>Concrete</t>
  </si>
  <si>
    <t xml:space="preserve">Concrete </t>
  </si>
  <si>
    <t>Item</t>
  </si>
  <si>
    <t xml:space="preserve">Steel ring bars 6mm dia </t>
  </si>
  <si>
    <t xml:space="preserve"> GROUND FLOOR</t>
  </si>
  <si>
    <t xml:space="preserve">Steel deformed bars, 10 mm dia </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</si>
  <si>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</si>
  <si>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</si>
  <si>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</si>
  <si>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Wall Tiles</t>
  </si>
  <si>
    <t>wall tiles fixed with tile adhesive</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</si>
  <si>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</si>
  <si>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</si>
  <si>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</si>
  <si>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</si>
  <si>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Ceilings and exposed slab</t>
  </si>
  <si>
    <t>RATE</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</si>
  <si>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</si>
  <si>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</si>
  <si>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 xml:space="preserve"> BILL NO</t>
  </si>
  <si>
    <t>AMOUNT (MRF)</t>
  </si>
  <si>
    <t>MASONARY AND PLASTERING</t>
  </si>
  <si>
    <t>HYDRAULICS &amp; DRAINAGE</t>
  </si>
  <si>
    <t>ELECTRCIAL INSTALATIONS</t>
  </si>
  <si>
    <t>PROJECT VALUE TOTAL</t>
  </si>
  <si>
    <t>GST 6%</t>
  </si>
  <si>
    <t>GRAND SUMMARY</t>
  </si>
  <si>
    <t>GENERAL SUMMARY</t>
  </si>
  <si>
    <t>WORKS BELOW FROUND</t>
  </si>
  <si>
    <t>Rates shall include for: levelling, grading, trimming, compacting to faces of excavation, keep sides plumb, backfilling, consolidating and disposing surplus soil</t>
  </si>
  <si>
    <t>DURATION (DAYS)</t>
  </si>
  <si>
    <r>
      <t>m</t>
    </r>
    <r>
      <rPr>
        <vertAlign val="superscript"/>
        <sz val="9"/>
        <rFont val="Verdana"/>
        <family val="2"/>
      </rPr>
      <t>3</t>
    </r>
  </si>
  <si>
    <t>Polythene sheet</t>
  </si>
  <si>
    <t>Gate Valve</t>
  </si>
  <si>
    <t>Complete Rainwater Drainage pipework, required trays, chains and ducting as given in the drawing</t>
  </si>
  <si>
    <t>Kg</t>
  </si>
  <si>
    <t>600x600 homogenous floor tiles fixed with tile adhesive</t>
  </si>
  <si>
    <t>300x300 homogenous non skid floor tiles fixed with water proof tile adhesive</t>
  </si>
  <si>
    <t>Floor Drain</t>
  </si>
  <si>
    <t>Gully Trap</t>
  </si>
  <si>
    <t>Bidet Shower</t>
  </si>
  <si>
    <t>13A Power Socket</t>
  </si>
  <si>
    <t>13A Twin Socket</t>
  </si>
  <si>
    <t>15A Switched Socket at High Level</t>
  </si>
  <si>
    <t>Distribution Board</t>
  </si>
  <si>
    <t>Emergency Light</t>
  </si>
  <si>
    <t>Recessed Ceiling Light (12W)</t>
  </si>
  <si>
    <t>Light Switch (1 Gang )</t>
  </si>
  <si>
    <t>Light Switch (2 Gang )</t>
  </si>
  <si>
    <t>Light Switch (3 Gang )</t>
  </si>
  <si>
    <t>Ground Floor</t>
  </si>
  <si>
    <t>Ceilng works</t>
  </si>
  <si>
    <t>Allow for site protection, site supervisors, hire of machinery and equipment</t>
  </si>
  <si>
    <t>General Notes</t>
  </si>
  <si>
    <t>g</t>
  </si>
  <si>
    <t>END OF BILL NO 01:  CARRIED OVER TO GENERAL SUMMARY</t>
  </si>
  <si>
    <t>END OF BILL NO 02:  CARRIED OVER TO GENERAL SUMMARY</t>
  </si>
  <si>
    <t>END OF BILL NO 03:  CARRIED OVER TO GENERAL SUMMARY</t>
  </si>
  <si>
    <t>END OF BILL NO 04:  CARRIED OVER TO GENERAL SUMMARY</t>
  </si>
  <si>
    <t>END OF BILL NO 05:  CARRIED OVER TO GENERAL SUMMARY</t>
  </si>
  <si>
    <t>END OF BILL NO 06:  CARRIED OVER TO GENERAL SUMMARY</t>
  </si>
  <si>
    <t>END OF BILL NO 07:  CARRIED OVER TO GENERAL SUMMARY</t>
  </si>
  <si>
    <t>END OF BILL NO 08:  CARRIED OVER TO GENERAL SUMMARY</t>
  </si>
  <si>
    <t>END OF BILL NO 09:  CARRIED OVER TO GENERAL SUMMARY</t>
  </si>
  <si>
    <t>END OF BILL NO 11:  CARRIED OVER TO GENERAL SUMMARY</t>
  </si>
  <si>
    <t>END OF BILL NO 12:  CARRIED OVER TO GENERAL SUMMARY</t>
  </si>
  <si>
    <t>Running Internal fresh water pipes followed from Shut-off valves to all Tiolets, Kitchens &amp; Laundrys which reduces from 25mmØ to 20mmØ and finally 16mmØ to the outlet fixtures or mixer as given in the detail drawings</t>
  </si>
  <si>
    <t>Cabling for internet and medianet</t>
  </si>
  <si>
    <t>Main Electrical Connection</t>
  </si>
  <si>
    <t>END OF BILL NO 13:  CARRIED OVER TO GENERAL SUMMARY</t>
  </si>
  <si>
    <t>Additions</t>
  </si>
  <si>
    <t>Omissions</t>
  </si>
  <si>
    <t>END OF BILL NO 14:  CARRIED OVER TO GENERAL SUMMARY</t>
  </si>
  <si>
    <t>ADDITIONS</t>
  </si>
  <si>
    <t>OMISSIONS</t>
  </si>
  <si>
    <t xml:space="preserve">GRAND TOTAL </t>
  </si>
  <si>
    <t>Re-bars</t>
  </si>
  <si>
    <t>H</t>
  </si>
  <si>
    <t>w</t>
  </si>
  <si>
    <t>V</t>
  </si>
  <si>
    <t>FW</t>
  </si>
  <si>
    <t>Bar size</t>
  </si>
  <si>
    <t>l</t>
  </si>
  <si>
    <t>KG</t>
  </si>
  <si>
    <t>R6</t>
  </si>
  <si>
    <t>Reps</t>
  </si>
  <si>
    <t>Distance</t>
  </si>
  <si>
    <t>Nos</t>
  </si>
  <si>
    <t>L</t>
  </si>
  <si>
    <t>C1</t>
  </si>
  <si>
    <t>kg</t>
  </si>
  <si>
    <t>Pad footing F1</t>
  </si>
  <si>
    <t>Complete waste water Discharge pipework, required trays and ducting as given in the drawing</t>
  </si>
  <si>
    <t xml:space="preserve">Foundation Beam FB </t>
  </si>
  <si>
    <t>W2</t>
  </si>
  <si>
    <t>Excavation, upto 0.75m</t>
  </si>
  <si>
    <t>Excavation, upto 0.375m for foundation beam</t>
  </si>
  <si>
    <t>v</t>
  </si>
  <si>
    <t>re-bars</t>
  </si>
  <si>
    <t>bar size</t>
  </si>
  <si>
    <t>bar l</t>
  </si>
  <si>
    <t>fw</t>
  </si>
  <si>
    <t>Paint on Walls</t>
  </si>
  <si>
    <t>Manhole</t>
  </si>
  <si>
    <t>Wall Tap</t>
  </si>
  <si>
    <t>Ceiling Mounted Exhaust Fan</t>
  </si>
  <si>
    <t>BILL NO 09</t>
  </si>
  <si>
    <t>Ceiling Light (12W)</t>
  </si>
  <si>
    <t>Light Switch (4 Gang )</t>
  </si>
  <si>
    <t>15A Socket In Polycarbonate Box</t>
  </si>
  <si>
    <t xml:space="preserve">50mm thick Lean concrete </t>
  </si>
  <si>
    <t xml:space="preserve"> Ground slab, 100mm thickness</t>
  </si>
  <si>
    <t>Excavation, upto 1.3m for pad footing</t>
  </si>
  <si>
    <t xml:space="preserve">Steel deformed bars, 16 mm dia </t>
  </si>
  <si>
    <t>RC Wall Up toground level</t>
  </si>
  <si>
    <t xml:space="preserve">Steel deformed bars, 20mm dia </t>
  </si>
  <si>
    <t>C3a</t>
  </si>
  <si>
    <t>C3</t>
  </si>
  <si>
    <t>C2</t>
  </si>
  <si>
    <t>C2a</t>
  </si>
  <si>
    <t>C1a</t>
  </si>
  <si>
    <t>T8</t>
  </si>
  <si>
    <t xml:space="preserve">Steel deformed bars 8mm dia </t>
  </si>
  <si>
    <t xml:space="preserve"> FIRST FLOOR</t>
  </si>
  <si>
    <t>Floor slab, 150mm thickness</t>
  </si>
  <si>
    <t>Beam B1</t>
  </si>
  <si>
    <t>Beam B2</t>
  </si>
  <si>
    <t>Beam B3</t>
  </si>
  <si>
    <t>Beam B4</t>
  </si>
  <si>
    <t xml:space="preserve">Steel deformed bars, 25mm dia </t>
  </si>
  <si>
    <t xml:space="preserve">Steel deformed bars, 16mm dia </t>
  </si>
  <si>
    <t xml:space="preserve">Steel deformed bars  10mm dia </t>
  </si>
  <si>
    <t xml:space="preserve">Steel deformed bars  25mm dia </t>
  </si>
  <si>
    <t xml:space="preserve">Steel deformed bars, 10mm dia </t>
  </si>
  <si>
    <t xml:space="preserve">Steel deformed bars, 10mm </t>
  </si>
  <si>
    <t>Beam B5</t>
  </si>
  <si>
    <t>Beam B6</t>
  </si>
  <si>
    <t>Beam B7</t>
  </si>
  <si>
    <t>Beam B8</t>
  </si>
  <si>
    <t xml:space="preserve">500mm high RC Wall </t>
  </si>
  <si>
    <t>Stair Footings</t>
  </si>
  <si>
    <t>RC wall up to half landing</t>
  </si>
  <si>
    <t>MINARET</t>
  </si>
  <si>
    <t>C4</t>
  </si>
  <si>
    <t>Beam B9</t>
  </si>
  <si>
    <t>Minaret footing F2</t>
  </si>
  <si>
    <t>Stair railing as shown in drawing</t>
  </si>
  <si>
    <t>Minbar as per client requirement</t>
  </si>
  <si>
    <t>Roofing as per given drawing including truss and cladding works</t>
  </si>
  <si>
    <t>75*150mm Aluminum RHS as per detail 6</t>
  </si>
  <si>
    <t>Clading as per given drawing including fixing of supports</t>
  </si>
  <si>
    <t>Roof hatch</t>
  </si>
  <si>
    <t>300mm masanory wall with 20mm thick plaster on the exterior and 12 plaster on interior</t>
  </si>
  <si>
    <t>150mm masanory wall with 20mm thick plaster on the exterior and 12 plaster on interior</t>
  </si>
  <si>
    <t>150 mm thick boundary wall</t>
  </si>
  <si>
    <t>FRST FLOOR</t>
  </si>
  <si>
    <t>100 mm thick 1200 mm high  masanory wall with 20mm thick plaster on the exterior and 12 plaster on interior</t>
  </si>
  <si>
    <t>D3</t>
  </si>
  <si>
    <t>D4</t>
  </si>
  <si>
    <t>W3</t>
  </si>
  <si>
    <t>SD1</t>
  </si>
  <si>
    <t>Sd2</t>
  </si>
  <si>
    <t>FIRST FLOOR</t>
  </si>
  <si>
    <t>W4</t>
  </si>
  <si>
    <t>Top slab, 130mm thickness</t>
  </si>
  <si>
    <t>Floor Gully</t>
  </si>
  <si>
    <t>110Ø Rainwater Outlet Perforated Cowl</t>
  </si>
  <si>
    <t>Rodding Eye</t>
  </si>
  <si>
    <t>Water Closet (WC)</t>
  </si>
  <si>
    <t>FENAKA Meter</t>
  </si>
  <si>
    <t>Well Water Pump</t>
  </si>
  <si>
    <t>Foot Valve With Strainer</t>
  </si>
  <si>
    <t>Ceiling Down Light (18W) - Weather Proof</t>
  </si>
  <si>
    <t>Ceiling Light (18W)</t>
  </si>
  <si>
    <t>Decorative Chandelier</t>
  </si>
  <si>
    <t>Decorative Pendent Light</t>
  </si>
  <si>
    <t>Pendant Light (12W)</t>
  </si>
  <si>
    <t>Indoor Wall Light (18W)</t>
  </si>
  <si>
    <t>42 inch To 48 inch Ceiling Fan</t>
  </si>
  <si>
    <t>13A Twin Socket With USB Ports</t>
  </si>
  <si>
    <t>Indoor Speaker</t>
  </si>
  <si>
    <t>Outdoor Speaker</t>
  </si>
  <si>
    <t>Public Address Main Control with Accessories</t>
  </si>
  <si>
    <t>Wall Mount Fan</t>
  </si>
  <si>
    <t>m</t>
  </si>
  <si>
    <t>Water proff led strip on roof</t>
  </si>
  <si>
    <t>Water proff led strips above and below B9 beams on minaret</t>
  </si>
  <si>
    <t>Ceiling Suspended Air Conditioner (Multi Split 35,000 Btu/hr)</t>
  </si>
  <si>
    <t>Air Curtain (900mm)</t>
  </si>
  <si>
    <t>FIRST Floor</t>
  </si>
  <si>
    <t>BOQ FOR COMPLETE WORKS OF MASJID AL-HUDA AT GN. FUVAHMULAH</t>
  </si>
  <si>
    <t>Ground water well</t>
  </si>
  <si>
    <t>2.4m dia Ground water well as per site conditions</t>
  </si>
  <si>
    <t>SHS ladder as shown in the drawing</t>
  </si>
  <si>
    <r>
      <t>30</t>
    </r>
    <r>
      <rPr>
        <vertAlign val="superscript"/>
        <sz val="11"/>
        <color theme="1"/>
        <rFont val="Calibri"/>
        <family val="2"/>
        <scheme val="minor"/>
      </rPr>
      <t>th</t>
    </r>
    <r>
      <rPr>
        <sz val="11"/>
        <color theme="1"/>
        <rFont val="Calibri"/>
        <family val="2"/>
        <scheme val="minor"/>
      </rPr>
      <t xml:space="preserve"> DECEMBER 2019</t>
    </r>
  </si>
  <si>
    <t>MINISTRY OF ISLAMIC AFFAIRS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</si>
</sst>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_(* \(#,##0\);_(* &quot;-&quot;??_);_(@_)"/>
    <numFmt numFmtId="166" formatCode="0.0"/>
    <numFmt numFmtId="167" formatCode="\(0\)"/>
    <numFmt numFmtId="168" formatCode="_(* #,##0.00_);_(* \(#,##0.00\);_(* \-??_);_(@_)"/>
  </numFmts>
  <fonts count="36" x14ac:knownFonts="1">
    <font>
      <sz val="11"/>
      <color theme="1"/>
      <name val="Calibri"/>
      <family val="2"/>
      <scheme val="minor"/>
    </font>
    <font>
      <sz val="11"/>
      <color theme="1"/>
      <name val="Calibri"/>
      <family val="2"/>
      <scheme val="minor"/>
    </font>
    <font>
      <b/>
      <sz val="11"/>
      <color theme="1"/>
      <name val="Calibri"/>
      <family val="2"/>
      <scheme val="minor"/>
    </font>
    <font>
      <sz val="10"/>
      <name val="Verdana"/>
      <family val="2"/>
    </font>
    <font>
      <b/>
      <sz val="10"/>
      <name val="Verdana"/>
      <family val="2"/>
    </font>
    <font>
      <b/>
      <u/>
      <sz val="10"/>
      <name val="Verdana"/>
      <family val="2"/>
    </font>
    <font>
      <b/>
      <sz val="11"/>
      <color theme="0"/>
      <name val="Verdana"/>
      <family val="2"/>
    </font>
    <font>
      <b/>
      <sz val="10"/>
      <color theme="0"/>
      <name val="Verdana"/>
      <family val="2"/>
    </font>
    <font>
      <b/>
      <sz val="8"/>
      <color theme="0"/>
      <name val="Verdana"/>
      <family val="2"/>
    </font>
    <font>
      <u/>
      <sz val="10"/>
      <name val="Verdana"/>
      <family val="2"/>
    </font>
    <font>
      <vertAlign val="superscript"/>
      <sz val="10"/>
      <name val="Verdana"/>
      <family val="2"/>
    </font>
    <font>
      <sz val="8"/>
      <name val="Calibri"/>
      <family val="2"/>
      <scheme val="minor"/>
    </font>
    <font>
      <sz val="10"/>
      <name val="Arial Narrow"/>
      <family val="2"/>
    </font>
    <font>
      <b/>
      <sz val="10"/>
      <name val="Times New Roman"/>
      <family val="1"/>
    </font>
    <font>
      <sz val="11"/>
      <name val="Calibri"/>
      <family val="2"/>
      <scheme val="minor"/>
    </font>
    <font>
      <sz val="10"/>
      <color theme="1"/>
      <name val="Calibri"/>
      <family val="2"/>
      <scheme val="minor"/>
    </font>
    <font>
      <b/>
      <sz val="12"/>
      <color theme="1"/>
      <name val="Calibri"/>
      <family val="2"/>
      <scheme val="minor"/>
    </font>
    <font>
      <sz val="18"/>
      <color theme="1"/>
      <name val="Calibri"/>
      <family val="2"/>
      <scheme val="minor"/>
    </font>
    <font>
      <sz val="24"/>
      <color theme="1"/>
      <name val="Calibri"/>
      <family val="2"/>
      <scheme val="minor"/>
    </font>
    <font>
      <sz val="10"/>
      <name val="Arial"/>
      <family val="2"/>
    </font>
    <font>
      <sz val="9"/>
      <color theme="1"/>
      <name val="Calibri"/>
      <family val="2"/>
      <scheme val="minor"/>
    </font>
    <font>
      <b/>
      <sz val="20"/>
      <color theme="1"/>
      <name val="Calibri"/>
      <family val="2"/>
      <scheme val="minor"/>
    </font>
    <font>
      <u/>
      <sz val="11"/>
      <color theme="10"/>
      <name val="Calibri"/>
      <family val="2"/>
      <scheme val="minor"/>
    </font>
    <font>
      <b/>
      <sz val="11"/>
      <name val="Calibri"/>
      <family val="2"/>
      <scheme val="minor"/>
    </font>
    <font>
      <sz val="10"/>
      <name val="Calibri"/>
      <family val="2"/>
      <scheme val="minor"/>
    </font>
    <font>
      <u/>
      <sz val="11"/>
      <color theme="1"/>
      <name val="Calibri"/>
      <family val="2"/>
      <scheme val="minor"/>
    </font>
    <font>
      <b/>
      <sz val="12"/>
      <name val="Lucida Sans Unicode"/>
      <family val="2"/>
    </font>
    <font>
      <sz val="10"/>
      <name val="Lucida Sans Unicode"/>
      <family val="2"/>
    </font>
    <font>
      <sz val="12"/>
      <name val="Lucida Sans Unicode"/>
      <family val="2"/>
    </font>
    <font>
      <b/>
      <sz val="10"/>
      <name val="Lucida Sans Unicode"/>
      <family val="2"/>
    </font>
    <font>
      <vertAlign val="superscript"/>
      <sz val="9"/>
      <name val="Verdana"/>
      <family val="2"/>
    </font>
    <font>
      <sz val="10"/>
      <name val="MS Sans Serif"/>
    </font>
    <font>
      <sz val="11"/>
      <color rgb="FF0070C0"/>
      <name val="Calibri"/>
      <family val="2"/>
      <scheme val="minor"/>
    </font>
    <font>
      <sz val="11"/>
      <color theme="4" tint="-0.249977111117893"/>
      <name val="Calibri"/>
      <family val="2"/>
      <scheme val="minor"/>
    </font>
    <font>
      <sz val="10"/>
      <name val="MS Sans Serif"/>
      <family val="2"/>
    </font>
    <font>
      <vertAlign val="superscript"/>
      <sz val="11"/>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theme="1" tint="0.34998626667073579"/>
        <bgColor auto="1"/>
      </patternFill>
    </fill>
    <fill>
      <patternFill patternType="solid">
        <fgColor theme="0" tint="-0.249977111117893"/>
        <bgColor indexed="64"/>
      </patternFill>
    </fill>
    <fill>
      <patternFill patternType="solid">
        <fgColor indexed="9"/>
        <bgColor indexed="26"/>
      </patternFill>
    </fill>
    <fill>
      <patternFill patternType="solid">
        <fgColor rgb="FFFFFF00"/>
        <bgColor indexed="64"/>
      </patternFill>
    </fill>
  </fills>
  <borders count="53">
    <border>
      <left/>
      <right/>
      <top/>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style="hair">
        <color indexed="64"/>
      </top>
      <bottom style="double">
        <color indexed="64"/>
      </bottom>
      <diagonal/>
    </border>
    <border>
      <left style="dashed">
        <color indexed="64"/>
      </left>
      <right/>
      <top style="hair">
        <color indexed="64"/>
      </top>
      <bottom style="double">
        <color indexed="64"/>
      </bottom>
      <diagonal/>
    </border>
    <border>
      <left/>
      <right/>
      <top style="hair">
        <color indexed="64"/>
      </top>
      <bottom style="double">
        <color indexed="64"/>
      </bottom>
      <diagonal/>
    </border>
    <border>
      <left/>
      <right style="dashed">
        <color indexed="64"/>
      </right>
      <top style="hair">
        <color indexed="64"/>
      </top>
      <bottom style="double">
        <color indexed="64"/>
      </bottom>
      <diagonal/>
    </border>
    <border>
      <left style="dashed">
        <color indexed="64"/>
      </left>
      <right style="thin">
        <color indexed="64"/>
      </right>
      <top style="hair">
        <color indexed="64"/>
      </top>
      <bottom style="double">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bottom style="hair">
        <color indexed="64"/>
      </bottom>
      <diagonal/>
    </border>
    <border>
      <left style="thin">
        <color indexed="64"/>
      </left>
      <right style="dashed">
        <color indexed="64"/>
      </right>
      <top/>
      <bottom style="hair">
        <color indexed="64"/>
      </bottom>
      <diagonal/>
    </border>
    <border>
      <left/>
      <right style="dotted">
        <color indexed="64"/>
      </right>
      <top/>
      <bottom/>
      <diagonal/>
    </border>
    <border>
      <left/>
      <right/>
      <top/>
      <bottom style="thin">
        <color indexed="8"/>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8"/>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bottom/>
      <diagonal/>
    </border>
    <border>
      <left style="dashed">
        <color indexed="64"/>
      </left>
      <right/>
      <top/>
      <bottom/>
      <diagonal/>
    </border>
    <border>
      <left style="dashed">
        <color indexed="64"/>
      </left>
      <right style="thin">
        <color indexed="64"/>
      </right>
      <top/>
      <bottom/>
      <diagonal/>
    </border>
  </borders>
  <cellStyleXfs count="9">
    <xf numFmtId="0" fontId="0" fillId="0" borderId="0"/>
    <xf numFmtId="164" fontId="1" fillId="0" borderId="0" applyFont="0" applyFill="0" applyBorder="0" applyAlignment="0" applyProtection="0"/>
    <xf numFmtId="0" fontId="19" fillId="0" borderId="0"/>
    <xf numFmtId="164" fontId="19" fillId="0" borderId="0" applyFont="0" applyFill="0" applyBorder="0" applyAlignment="0" applyProtection="0"/>
    <xf numFmtId="0" fontId="22" fillId="0" borderId="0" applyNumberFormat="0" applyFill="0" applyBorder="0" applyAlignment="0" applyProtection="0"/>
    <xf numFmtId="168" fontId="19" fillId="0" borderId="0" applyFill="0" applyBorder="0" applyAlignment="0" applyProtection="0"/>
    <xf numFmtId="0" fontId="19" fillId="0" borderId="0"/>
    <xf numFmtId="0" fontId="31" fillId="0" borderId="0"/>
    <xf numFmtId="0" fontId="34" fillId="0" borderId="0"/>
  </cellStyleXfs>
  <cellXfs count="268">
    <xf numFmtId="0" fontId="0" fillId="0" borderId="0" xfId="0"/>
    <xf numFmtId="164" fontId="0" fillId="0" borderId="0" xfId="1" applyFont="1"/>
    <xf numFmtId="0" fontId="3" fillId="2" borderId="1" xfId="0" applyFont="1" applyFill="1" applyBorder="1" applyAlignment="1">
      <alignment vertical="top" wrapText="1"/>
    </xf>
    <xf numFmtId="164" fontId="0" fillId="0" borderId="0" xfId="0" applyNumberFormat="1"/>
    <xf numFmtId="0" fontId="2" fillId="0" borderId="0" xfId="0" applyFont="1"/>
    <xf numFmtId="0" fontId="4" fillId="3" borderId="2" xfId="0" applyFont="1" applyFill="1" applyBorder="1" applyAlignment="1">
      <alignment horizontal="right" vertical="center" wrapText="1"/>
    </xf>
    <xf numFmtId="164" fontId="4" fillId="3" borderId="3" xfId="1" applyFont="1" applyFill="1" applyBorder="1" applyAlignment="1">
      <alignment horizontal="center" vertical="center" wrapText="1"/>
    </xf>
    <xf numFmtId="2"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164" fontId="4" fillId="3" borderId="4" xfId="1" applyFont="1" applyFill="1" applyBorder="1" applyAlignment="1">
      <alignment horizontal="center" vertical="center"/>
    </xf>
    <xf numFmtId="1" fontId="6" fillId="4" borderId="5" xfId="0" quotePrefix="1" applyNumberFormat="1" applyFont="1" applyFill="1" applyBorder="1" applyAlignment="1">
      <alignment horizontal="right" vertical="top"/>
    </xf>
    <xf numFmtId="164" fontId="7" fillId="4" borderId="9" xfId="1" applyFont="1" applyFill="1" applyBorder="1" applyAlignment="1">
      <alignment horizontal="right"/>
    </xf>
    <xf numFmtId="0" fontId="0" fillId="0" borderId="0" xfId="0" applyAlignment="1">
      <alignment horizontal="right"/>
    </xf>
    <xf numFmtId="0" fontId="4" fillId="2" borderId="10" xfId="1" applyNumberFormat="1" applyFont="1" applyFill="1" applyBorder="1" applyAlignment="1">
      <alignment horizontal="right" vertical="top" wrapText="1"/>
    </xf>
    <xf numFmtId="0" fontId="4" fillId="2" borderId="1" xfId="0" applyFont="1" applyFill="1" applyBorder="1" applyAlignment="1">
      <alignment horizontal="left" vertical="top" wrapText="1"/>
    </xf>
    <xf numFmtId="2" fontId="4" fillId="2" borderId="1" xfId="0" applyNumberFormat="1" applyFont="1" applyFill="1" applyBorder="1" applyAlignment="1"/>
    <xf numFmtId="0" fontId="4" fillId="2" borderId="1" xfId="0" applyFont="1" applyFill="1" applyBorder="1" applyAlignment="1"/>
    <xf numFmtId="164" fontId="4" fillId="2" borderId="1" xfId="1" applyFont="1" applyFill="1" applyBorder="1" applyAlignment="1">
      <alignment horizontal="right"/>
    </xf>
    <xf numFmtId="164" fontId="4" fillId="2" borderId="11" xfId="1" applyFont="1" applyFill="1" applyBorder="1" applyAlignment="1">
      <alignment horizontal="right"/>
    </xf>
    <xf numFmtId="0" fontId="3" fillId="0" borderId="12" xfId="1" applyNumberFormat="1" applyFont="1" applyFill="1" applyBorder="1" applyAlignment="1">
      <alignment horizontal="right" vertical="top" wrapText="1"/>
    </xf>
    <xf numFmtId="0" fontId="3" fillId="2" borderId="13" xfId="0" applyFont="1" applyFill="1" applyBorder="1" applyAlignment="1">
      <alignment vertical="top" wrapText="1"/>
    </xf>
    <xf numFmtId="2" fontId="3" fillId="2" borderId="13" xfId="1" applyNumberFormat="1" applyFont="1" applyFill="1" applyBorder="1" applyAlignment="1"/>
    <xf numFmtId="0" fontId="3" fillId="2" borderId="13" xfId="0" applyFont="1" applyFill="1" applyBorder="1" applyAlignment="1"/>
    <xf numFmtId="164" fontId="3" fillId="2" borderId="13" xfId="1" applyFont="1" applyFill="1" applyBorder="1" applyAlignment="1">
      <alignment horizontal="right"/>
    </xf>
    <xf numFmtId="164" fontId="3" fillId="2" borderId="14" xfId="1" applyFont="1" applyFill="1" applyBorder="1" applyAlignment="1">
      <alignment horizontal="right"/>
    </xf>
    <xf numFmtId="0" fontId="3" fillId="0" borderId="10" xfId="1" applyNumberFormat="1" applyFont="1" applyFill="1" applyBorder="1" applyAlignment="1">
      <alignment horizontal="right" vertical="top" wrapText="1"/>
    </xf>
    <xf numFmtId="2" fontId="3" fillId="2" borderId="1" xfId="1" applyNumberFormat="1" applyFont="1" applyFill="1" applyBorder="1" applyAlignment="1"/>
    <xf numFmtId="0" fontId="3" fillId="2" borderId="1" xfId="0" applyFont="1" applyFill="1" applyBorder="1" applyAlignment="1"/>
    <xf numFmtId="164" fontId="3" fillId="2" borderId="1" xfId="1" applyFont="1" applyFill="1" applyBorder="1" applyAlignment="1">
      <alignment horizontal="right"/>
    </xf>
    <xf numFmtId="164" fontId="3" fillId="2" borderId="11" xfId="1" applyFont="1" applyFill="1" applyBorder="1" applyAlignment="1">
      <alignment horizontal="right"/>
    </xf>
    <xf numFmtId="166" fontId="4" fillId="0" borderId="10" xfId="0" quotePrefix="1" applyNumberFormat="1" applyFont="1" applyFill="1" applyBorder="1" applyAlignment="1">
      <alignment horizontal="right" vertical="top"/>
    </xf>
    <xf numFmtId="2" fontId="3" fillId="2" borderId="1" xfId="0" applyNumberFormat="1" applyFont="1" applyFill="1" applyBorder="1" applyAlignment="1"/>
    <xf numFmtId="164" fontId="8" fillId="5" borderId="17" xfId="1" applyFont="1" applyFill="1" applyBorder="1" applyAlignment="1">
      <alignment horizontal="right"/>
    </xf>
    <xf numFmtId="1" fontId="3" fillId="2" borderId="1" xfId="0" applyNumberFormat="1" applyFont="1" applyFill="1" applyBorder="1" applyAlignment="1"/>
    <xf numFmtId="164" fontId="3" fillId="3" borderId="11" xfId="1" applyFont="1" applyFill="1" applyBorder="1" applyAlignment="1">
      <alignment horizontal="left"/>
    </xf>
    <xf numFmtId="0" fontId="9" fillId="0" borderId="10" xfId="0" applyFont="1" applyFill="1" applyBorder="1" applyAlignment="1">
      <alignment horizontal="right" vertical="top"/>
    </xf>
    <xf numFmtId="0" fontId="3" fillId="2" borderId="1" xfId="0" applyFont="1" applyFill="1" applyBorder="1" applyAlignment="1">
      <alignment horizontal="left" vertical="top" wrapText="1"/>
    </xf>
    <xf numFmtId="165" fontId="3" fillId="2" borderId="1" xfId="1" applyNumberFormat="1" applyFont="1" applyFill="1" applyBorder="1" applyAlignment="1"/>
    <xf numFmtId="164" fontId="3" fillId="2" borderId="1" xfId="1" applyFont="1" applyFill="1" applyBorder="1" applyAlignment="1">
      <alignment horizontal="right" vertical="top"/>
    </xf>
    <xf numFmtId="1" fontId="3" fillId="2" borderId="1" xfId="0" applyNumberFormat="1" applyFont="1" applyFill="1" applyBorder="1" applyAlignment="1">
      <alignment horizontal="right"/>
    </xf>
    <xf numFmtId="0" fontId="11" fillId="0" borderId="0" xfId="0" applyFont="1" applyFill="1" applyBorder="1"/>
    <xf numFmtId="164" fontId="11" fillId="0" borderId="0" xfId="1" applyFont="1" applyFill="1" applyBorder="1"/>
    <xf numFmtId="0" fontId="11" fillId="0" borderId="0" xfId="0" applyFont="1" applyFill="1" applyBorder="1" applyAlignment="1">
      <alignment vertical="top"/>
    </xf>
    <xf numFmtId="0" fontId="11" fillId="0" borderId="0" xfId="0" applyFont="1" applyFill="1" applyBorder="1" applyAlignment="1">
      <alignment vertical="top" wrapText="1"/>
    </xf>
    <xf numFmtId="0" fontId="12" fillId="2" borderId="0" xfId="0" applyFont="1" applyFill="1"/>
    <xf numFmtId="165" fontId="3" fillId="2" borderId="1" xfId="1" applyNumberFormat="1" applyFont="1" applyFill="1" applyBorder="1" applyAlignment="1">
      <alignment horizontal="right"/>
    </xf>
    <xf numFmtId="164" fontId="4" fillId="2" borderId="11" xfId="1" quotePrefix="1" applyFont="1" applyFill="1" applyBorder="1" applyAlignment="1">
      <alignment horizontal="right" vertical="top"/>
    </xf>
    <xf numFmtId="164" fontId="4" fillId="2" borderId="1" xfId="1" quotePrefix="1" applyFont="1" applyFill="1" applyBorder="1" applyAlignment="1">
      <alignment horizontal="right" vertical="top"/>
    </xf>
    <xf numFmtId="0" fontId="3" fillId="2" borderId="10" xfId="1" quotePrefix="1" applyNumberFormat="1" applyFont="1" applyFill="1" applyBorder="1" applyAlignment="1">
      <alignment horizontal="right" vertical="top" wrapText="1"/>
    </xf>
    <xf numFmtId="0" fontId="3" fillId="2" borderId="0" xfId="0" applyFont="1" applyFill="1" applyBorder="1"/>
    <xf numFmtId="0" fontId="13" fillId="2" borderId="0" xfId="0" applyFont="1" applyFill="1" applyBorder="1"/>
    <xf numFmtId="1" fontId="4" fillId="2" borderId="10" xfId="0" quotePrefix="1" applyNumberFormat="1" applyFont="1" applyFill="1" applyBorder="1" applyAlignment="1">
      <alignment horizontal="right" vertical="top"/>
    </xf>
    <xf numFmtId="0" fontId="4" fillId="3" borderId="0" xfId="0" applyFont="1" applyFill="1"/>
    <xf numFmtId="0" fontId="14" fillId="0" borderId="0" xfId="0" applyFont="1" applyFill="1" applyBorder="1"/>
    <xf numFmtId="164" fontId="14" fillId="0" borderId="0" xfId="1" applyFont="1" applyFill="1" applyBorder="1"/>
    <xf numFmtId="164" fontId="3" fillId="3" borderId="1" xfId="1" applyFont="1" applyFill="1" applyBorder="1" applyAlignment="1">
      <alignment horizontal="left"/>
    </xf>
    <xf numFmtId="0" fontId="4" fillId="0" borderId="10" xfId="1" applyNumberFormat="1" applyFont="1" applyFill="1" applyBorder="1" applyAlignment="1">
      <alignment horizontal="right" vertical="top" wrapText="1"/>
    </xf>
    <xf numFmtId="166" fontId="4" fillId="2" borderId="10" xfId="0" quotePrefix="1" applyNumberFormat="1" applyFont="1" applyFill="1" applyBorder="1" applyAlignment="1">
      <alignment horizontal="right" vertical="top"/>
    </xf>
    <xf numFmtId="0" fontId="3" fillId="2" borderId="1" xfId="0" applyFont="1" applyFill="1" applyBorder="1" applyAlignment="1">
      <alignment horizontal="left" wrapText="1"/>
    </xf>
    <xf numFmtId="164" fontId="4" fillId="4" borderId="9" xfId="1" applyFont="1" applyFill="1" applyBorder="1" applyAlignment="1">
      <alignment horizontal="right"/>
    </xf>
    <xf numFmtId="1" fontId="4" fillId="0" borderId="10" xfId="0" applyNumberFormat="1" applyFont="1" applyFill="1" applyBorder="1" applyAlignment="1">
      <alignment horizontal="right" vertical="top"/>
    </xf>
    <xf numFmtId="0" fontId="3" fillId="0" borderId="10" xfId="0" applyFont="1" applyFill="1" applyBorder="1" applyAlignment="1">
      <alignment vertical="top"/>
    </xf>
    <xf numFmtId="0" fontId="15" fillId="0" borderId="0" xfId="0" applyFont="1"/>
    <xf numFmtId="1" fontId="4" fillId="0" borderId="10" xfId="1" applyNumberFormat="1" applyFont="1" applyFill="1" applyBorder="1" applyAlignment="1">
      <alignment horizontal="right" vertical="top" wrapText="1"/>
    </xf>
    <xf numFmtId="0" fontId="0" fillId="0" borderId="18" xfId="0" applyBorder="1"/>
    <xf numFmtId="164" fontId="3" fillId="3" borderId="1" xfId="1" applyFont="1" applyFill="1" applyBorder="1" applyAlignment="1">
      <alignment horizontal="right"/>
    </xf>
    <xf numFmtId="0" fontId="3" fillId="0" borderId="1" xfId="1" quotePrefix="1" applyNumberFormat="1" applyFont="1" applyBorder="1" applyAlignment="1">
      <alignment horizontal="justify" wrapText="1"/>
    </xf>
    <xf numFmtId="0" fontId="3" fillId="0" borderId="1" xfId="1" quotePrefix="1" applyNumberFormat="1" applyFont="1" applyBorder="1" applyAlignment="1">
      <alignment horizontal="justify" vertical="top" wrapText="1"/>
    </xf>
    <xf numFmtId="167" fontId="3" fillId="2" borderId="10" xfId="1" quotePrefix="1" applyNumberFormat="1" applyFont="1" applyFill="1" applyBorder="1" applyAlignment="1">
      <alignment horizontal="right" vertical="center"/>
    </xf>
    <xf numFmtId="0" fontId="3" fillId="3" borderId="1" xfId="0" applyFont="1" applyFill="1" applyBorder="1" applyAlignment="1"/>
    <xf numFmtId="0" fontId="3" fillId="2" borderId="1" xfId="1" applyNumberFormat="1" applyFont="1" applyFill="1" applyBorder="1" applyAlignment="1">
      <alignment horizontal="justify" vertical="top" wrapText="1"/>
    </xf>
    <xf numFmtId="1" fontId="3" fillId="2" borderId="10" xfId="1" quotePrefix="1" applyNumberFormat="1" applyFont="1" applyFill="1" applyBorder="1" applyAlignment="1">
      <alignment horizontal="right" vertical="top" wrapText="1"/>
    </xf>
    <xf numFmtId="164" fontId="4" fillId="3" borderId="11" xfId="1" applyFont="1" applyFill="1" applyBorder="1" applyAlignment="1">
      <alignment horizontal="right"/>
    </xf>
    <xf numFmtId="164" fontId="4" fillId="3" borderId="1" xfId="1" applyFont="1" applyFill="1" applyBorder="1" applyAlignment="1">
      <alignment horizontal="right"/>
    </xf>
    <xf numFmtId="2" fontId="3" fillId="3" borderId="1" xfId="0" applyNumberFormat="1" applyFont="1" applyFill="1" applyBorder="1" applyAlignment="1"/>
    <xf numFmtId="0" fontId="4" fillId="2" borderId="10" xfId="1" quotePrefix="1" applyNumberFormat="1" applyFont="1" applyFill="1" applyBorder="1" applyAlignment="1">
      <alignment horizontal="right" vertical="center" wrapText="1"/>
    </xf>
    <xf numFmtId="0" fontId="3" fillId="3" borderId="1" xfId="0" applyFont="1" applyFill="1" applyBorder="1" applyAlignment="1">
      <alignment horizontal="right"/>
    </xf>
    <xf numFmtId="0" fontId="4" fillId="3" borderId="1" xfId="0" applyFont="1" applyFill="1" applyBorder="1" applyAlignment="1">
      <alignment horizontal="left" vertical="top" wrapText="1"/>
    </xf>
    <xf numFmtId="0" fontId="3" fillId="0" borderId="1" xfId="1" quotePrefix="1" applyNumberFormat="1" applyFont="1" applyBorder="1" applyAlignment="1">
      <alignment horizontal="left" vertical="top" wrapText="1" indent="2"/>
    </xf>
    <xf numFmtId="164" fontId="4" fillId="2" borderId="19" xfId="1" applyFont="1" applyFill="1" applyBorder="1" applyAlignment="1">
      <alignment horizontal="right"/>
    </xf>
    <xf numFmtId="164" fontId="4" fillId="2" borderId="20" xfId="1" applyFont="1" applyFill="1" applyBorder="1" applyAlignment="1">
      <alignment horizontal="right"/>
    </xf>
    <xf numFmtId="2" fontId="3" fillId="2" borderId="20" xfId="0" applyNumberFormat="1" applyFont="1" applyFill="1" applyBorder="1" applyAlignment="1">
      <alignment vertical="top"/>
    </xf>
    <xf numFmtId="2" fontId="3" fillId="2" borderId="20" xfId="0" applyNumberFormat="1" applyFont="1" applyFill="1" applyBorder="1" applyAlignment="1">
      <alignment horizontal="center" vertical="top"/>
    </xf>
    <xf numFmtId="166" fontId="4" fillId="2" borderId="21" xfId="0" quotePrefix="1" applyNumberFormat="1" applyFont="1" applyFill="1" applyBorder="1" applyAlignment="1">
      <alignment horizontal="right" vertical="top"/>
    </xf>
    <xf numFmtId="0" fontId="4" fillId="2" borderId="20" xfId="0" applyFont="1" applyFill="1" applyBorder="1" applyAlignment="1">
      <alignment horizontal="left" vertical="top" wrapText="1"/>
    </xf>
    <xf numFmtId="0" fontId="4" fillId="3" borderId="2" xfId="0" applyFont="1" applyFill="1" applyBorder="1" applyAlignment="1">
      <alignment horizontal="center" vertical="center" wrapText="1"/>
    </xf>
    <xf numFmtId="1" fontId="3" fillId="0" borderId="10" xfId="1" quotePrefix="1" applyNumberFormat="1" applyFont="1" applyFill="1" applyBorder="1" applyAlignment="1">
      <alignment horizontal="right" vertical="top" wrapText="1"/>
    </xf>
    <xf numFmtId="2" fontId="3"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3" fillId="2" borderId="10" xfId="1" applyNumberFormat="1" applyFont="1" applyFill="1" applyBorder="1" applyAlignment="1">
      <alignment horizontal="right" vertical="top" wrapText="1"/>
    </xf>
    <xf numFmtId="0" fontId="3" fillId="2" borderId="1" xfId="0" quotePrefix="1" applyFont="1" applyFill="1" applyBorder="1" applyAlignment="1">
      <alignment horizontal="left" vertical="top" wrapText="1" indent="2"/>
    </xf>
    <xf numFmtId="0" fontId="2" fillId="0" borderId="0" xfId="0" applyFont="1" applyAlignment="1">
      <alignment wrapText="1"/>
    </xf>
    <xf numFmtId="0" fontId="2" fillId="0" borderId="16" xfId="0" applyFont="1" applyBorder="1" applyAlignment="1">
      <alignment wrapText="1"/>
    </xf>
    <xf numFmtId="0" fontId="23" fillId="0" borderId="16" xfId="0" applyFont="1" applyFill="1" applyBorder="1" applyAlignment="1">
      <alignment wrapText="1"/>
    </xf>
    <xf numFmtId="0" fontId="2" fillId="0" borderId="22" xfId="0" applyFont="1" applyBorder="1"/>
    <xf numFmtId="0" fontId="0" fillId="0" borderId="0" xfId="0" applyAlignment="1">
      <alignment horizontal="left"/>
    </xf>
    <xf numFmtId="0" fontId="15" fillId="0" borderId="0" xfId="0" applyFont="1" applyAlignment="1">
      <alignment horizontal="left"/>
    </xf>
    <xf numFmtId="0" fontId="0" fillId="0" borderId="0" xfId="0" applyAlignment="1"/>
    <xf numFmtId="0" fontId="17" fillId="0" borderId="0" xfId="0" applyFont="1" applyAlignment="1"/>
    <xf numFmtId="0" fontId="18" fillId="0" borderId="0" xfId="0" applyFont="1" applyAlignment="1"/>
    <xf numFmtId="2" fontId="3" fillId="0" borderId="1" xfId="0" applyNumberFormat="1" applyFont="1" applyFill="1" applyBorder="1" applyAlignment="1"/>
    <xf numFmtId="0" fontId="3" fillId="0" borderId="10" xfId="1" quotePrefix="1" applyNumberFormat="1" applyFont="1" applyFill="1" applyBorder="1" applyAlignment="1">
      <alignment horizontal="right" vertical="top" wrapText="1"/>
    </xf>
    <xf numFmtId="0" fontId="25" fillId="0" borderId="18" xfId="0" applyFont="1" applyBorder="1"/>
    <xf numFmtId="0" fontId="3" fillId="0" borderId="10" xfId="0" applyFont="1" applyFill="1" applyBorder="1" applyAlignment="1">
      <alignment horizontal="right" vertical="top"/>
    </xf>
    <xf numFmtId="164" fontId="3" fillId="2" borderId="1" xfId="1" applyFont="1" applyFill="1" applyBorder="1" applyAlignment="1"/>
    <xf numFmtId="0" fontId="0" fillId="0" borderId="0" xfId="0" applyBorder="1"/>
    <xf numFmtId="1" fontId="3" fillId="2" borderId="1" xfId="1" applyNumberFormat="1" applyFont="1" applyFill="1" applyBorder="1" applyAlignment="1"/>
    <xf numFmtId="0" fontId="19" fillId="0" borderId="0" xfId="6"/>
    <xf numFmtId="0" fontId="27" fillId="0" borderId="0" xfId="6" applyFont="1"/>
    <xf numFmtId="168" fontId="26" fillId="0" borderId="24" xfId="5" applyFont="1" applyFill="1" applyBorder="1" applyAlignment="1" applyProtection="1">
      <alignment horizontal="right" vertical="center" wrapText="1"/>
    </xf>
    <xf numFmtId="168" fontId="26" fillId="0" borderId="16" xfId="5" applyFont="1" applyFill="1" applyBorder="1" applyAlignment="1" applyProtection="1">
      <alignment horizontal="right" vertical="center" wrapText="1"/>
    </xf>
    <xf numFmtId="168" fontId="26" fillId="9" borderId="29" xfId="5" applyFont="1" applyFill="1" applyBorder="1" applyAlignment="1" applyProtection="1">
      <alignment horizontal="center" vertical="center" wrapText="1"/>
    </xf>
    <xf numFmtId="168" fontId="26" fillId="9" borderId="31" xfId="5" applyFont="1" applyFill="1" applyBorder="1" applyAlignment="1" applyProtection="1">
      <alignment horizontal="center" vertical="center" wrapText="1"/>
    </xf>
    <xf numFmtId="168" fontId="26" fillId="0" borderId="27" xfId="5" applyFont="1" applyFill="1" applyBorder="1" applyAlignment="1" applyProtection="1">
      <alignment horizontal="right" vertical="center"/>
    </xf>
    <xf numFmtId="168" fontId="26" fillId="0" borderId="26" xfId="5" applyFont="1" applyFill="1" applyBorder="1" applyAlignment="1" applyProtection="1">
      <alignment horizontal="right" vertical="center" wrapText="1"/>
    </xf>
    <xf numFmtId="0" fontId="0" fillId="0" borderId="32" xfId="0" applyBorder="1" applyAlignment="1"/>
    <xf numFmtId="0" fontId="0" fillId="0" borderId="30" xfId="0" applyBorder="1" applyAlignment="1"/>
    <xf numFmtId="168" fontId="26" fillId="0" borderId="23" xfId="5" applyFont="1" applyFill="1" applyBorder="1" applyAlignment="1" applyProtection="1">
      <alignment horizontal="right" vertical="center" wrapText="1"/>
    </xf>
    <xf numFmtId="168" fontId="26" fillId="0" borderId="34" xfId="5" applyFont="1" applyFill="1" applyBorder="1" applyAlignment="1" applyProtection="1">
      <alignment horizontal="right" vertical="center"/>
    </xf>
    <xf numFmtId="164" fontId="0" fillId="0" borderId="27" xfId="1" applyFont="1" applyBorder="1" applyAlignment="1"/>
    <xf numFmtId="2" fontId="0" fillId="0" borderId="0" xfId="0" applyNumberFormat="1"/>
    <xf numFmtId="0" fontId="0" fillId="10" borderId="0" xfId="0" applyFill="1"/>
    <xf numFmtId="0" fontId="0" fillId="0" borderId="0" xfId="0" applyFill="1"/>
    <xf numFmtId="0" fontId="0" fillId="0" borderId="18" xfId="0" applyBorder="1" applyAlignment="1">
      <alignment wrapText="1"/>
    </xf>
    <xf numFmtId="0" fontId="3" fillId="0" borderId="1" xfId="0" applyFont="1" applyFill="1" applyBorder="1" applyAlignment="1">
      <alignment horizontal="left" vertical="top" wrapText="1"/>
    </xf>
    <xf numFmtId="166" fontId="4" fillId="2" borderId="10" xfId="1" applyNumberFormat="1" applyFont="1" applyFill="1" applyBorder="1" applyAlignment="1">
      <alignment horizontal="right" vertical="top" wrapText="1"/>
    </xf>
    <xf numFmtId="166" fontId="3" fillId="2" borderId="10" xfId="1" applyNumberFormat="1" applyFont="1" applyFill="1" applyBorder="1" applyAlignment="1">
      <alignment horizontal="right" vertical="top" wrapText="1"/>
    </xf>
    <xf numFmtId="166" fontId="4" fillId="0" borderId="10" xfId="1" quotePrefix="1" applyNumberFormat="1" applyFont="1" applyFill="1" applyBorder="1" applyAlignment="1">
      <alignment horizontal="right" vertical="top" wrapText="1"/>
    </xf>
    <xf numFmtId="164" fontId="3" fillId="2" borderId="1" xfId="1" applyNumberFormat="1" applyFont="1" applyFill="1" applyBorder="1" applyAlignment="1"/>
    <xf numFmtId="168" fontId="29" fillId="9" borderId="29" xfId="5" applyFont="1" applyFill="1" applyBorder="1" applyAlignment="1" applyProtection="1">
      <alignment horizontal="center" vertical="center" wrapText="1"/>
    </xf>
    <xf numFmtId="168" fontId="29" fillId="9" borderId="37" xfId="5" applyFont="1" applyFill="1" applyBorder="1" applyAlignment="1" applyProtection="1">
      <alignment horizontal="center" vertical="center" wrapText="1"/>
    </xf>
    <xf numFmtId="166" fontId="28" fillId="9" borderId="29" xfId="5" applyNumberFormat="1" applyFont="1" applyFill="1" applyBorder="1" applyAlignment="1" applyProtection="1">
      <alignment horizontal="center" vertical="center"/>
    </xf>
    <xf numFmtId="168" fontId="28" fillId="9" borderId="31" xfId="5" applyFont="1" applyFill="1" applyBorder="1" applyAlignment="1" applyProtection="1">
      <alignment vertical="center"/>
    </xf>
    <xf numFmtId="164" fontId="0" fillId="0" borderId="32" xfId="1" applyFont="1" applyBorder="1" applyAlignment="1"/>
    <xf numFmtId="166" fontId="26" fillId="0" borderId="33" xfId="5" applyNumberFormat="1" applyFont="1" applyFill="1" applyBorder="1" applyAlignment="1" applyProtection="1">
      <alignment horizontal="right" vertical="center"/>
    </xf>
    <xf numFmtId="166" fontId="26" fillId="0" borderId="35" xfId="5" applyNumberFormat="1" applyFont="1" applyFill="1" applyBorder="1" applyAlignment="1" applyProtection="1">
      <alignment horizontal="right" vertical="center"/>
    </xf>
    <xf numFmtId="166" fontId="26" fillId="0" borderId="28" xfId="5" applyNumberFormat="1" applyFont="1" applyFill="1" applyBorder="1" applyAlignment="1" applyProtection="1">
      <alignment horizontal="right" vertical="center"/>
    </xf>
    <xf numFmtId="0" fontId="3" fillId="0" borderId="10" xfId="1" quotePrefix="1" applyNumberFormat="1" applyFont="1" applyBorder="1" applyAlignment="1">
      <alignment horizontal="left" vertical="top" wrapText="1" indent="2"/>
    </xf>
    <xf numFmtId="0" fontId="3" fillId="0" borderId="11" xfId="1" quotePrefix="1" applyNumberFormat="1" applyFont="1" applyBorder="1" applyAlignment="1">
      <alignment horizontal="left" vertical="top" wrapText="1" indent="2"/>
    </xf>
    <xf numFmtId="0" fontId="0" fillId="0" borderId="30" xfId="0" applyBorder="1"/>
    <xf numFmtId="0" fontId="0" fillId="8" borderId="30" xfId="0" applyFill="1" applyBorder="1"/>
    <xf numFmtId="0" fontId="0" fillId="8" borderId="0" xfId="0" applyFill="1" applyBorder="1"/>
    <xf numFmtId="0" fontId="0" fillId="8" borderId="32" xfId="0" applyFill="1" applyBorder="1" applyAlignment="1">
      <alignment horizontal="right"/>
    </xf>
    <xf numFmtId="0" fontId="0" fillId="0" borderId="35" xfId="0" applyBorder="1"/>
    <xf numFmtId="164" fontId="7" fillId="6" borderId="9" xfId="1" applyFont="1" applyFill="1" applyBorder="1" applyAlignment="1">
      <alignment horizontal="left" vertical="top" wrapText="1"/>
    </xf>
    <xf numFmtId="0" fontId="0" fillId="8" borderId="35" xfId="0" applyFill="1" applyBorder="1"/>
    <xf numFmtId="0" fontId="0" fillId="8" borderId="26" xfId="0" applyFill="1" applyBorder="1"/>
    <xf numFmtId="0" fontId="0" fillId="8" borderId="34" xfId="0" applyFill="1" applyBorder="1" applyAlignment="1">
      <alignment horizontal="right"/>
    </xf>
    <xf numFmtId="164" fontId="3" fillId="3" borderId="14" xfId="1" applyFont="1" applyFill="1" applyBorder="1" applyAlignment="1">
      <alignment horizontal="left"/>
    </xf>
    <xf numFmtId="0" fontId="3" fillId="0" borderId="38" xfId="1" applyNumberFormat="1" applyFont="1" applyFill="1" applyBorder="1" applyAlignment="1">
      <alignment horizontal="right" vertical="top" wrapText="1"/>
    </xf>
    <xf numFmtId="0" fontId="3" fillId="2" borderId="39" xfId="0" applyFont="1" applyFill="1" applyBorder="1" applyAlignment="1">
      <alignment vertical="top" wrapText="1"/>
    </xf>
    <xf numFmtId="2" fontId="3" fillId="2" borderId="39" xfId="0" applyNumberFormat="1" applyFont="1" applyFill="1" applyBorder="1" applyAlignment="1"/>
    <xf numFmtId="0" fontId="3" fillId="2" borderId="39" xfId="0" applyFont="1" applyFill="1" applyBorder="1" applyAlignment="1"/>
    <xf numFmtId="164" fontId="3" fillId="2" borderId="39" xfId="1" applyFont="1" applyFill="1" applyBorder="1" applyAlignment="1">
      <alignment horizontal="right"/>
    </xf>
    <xf numFmtId="164" fontId="3" fillId="2" borderId="40" xfId="1" applyFont="1" applyFill="1" applyBorder="1" applyAlignment="1">
      <alignment horizontal="right"/>
    </xf>
    <xf numFmtId="164" fontId="7" fillId="6" borderId="43" xfId="1" applyFont="1" applyFill="1" applyBorder="1" applyAlignment="1">
      <alignment horizontal="left" vertical="top" wrapText="1"/>
    </xf>
    <xf numFmtId="1" fontId="4" fillId="0" borderId="38" xfId="0" applyNumberFormat="1" applyFont="1" applyFill="1" applyBorder="1" applyAlignment="1">
      <alignment horizontal="right" vertical="top"/>
    </xf>
    <xf numFmtId="0" fontId="3" fillId="2" borderId="39" xfId="0" applyFont="1" applyFill="1" applyBorder="1" applyAlignment="1">
      <alignment horizontal="left" vertical="top" wrapText="1"/>
    </xf>
    <xf numFmtId="1" fontId="3" fillId="2" borderId="39" xfId="0" applyNumberFormat="1" applyFont="1" applyFill="1" applyBorder="1" applyAlignment="1"/>
    <xf numFmtId="164" fontId="0" fillId="0" borderId="34" xfId="1" applyFont="1" applyBorder="1"/>
    <xf numFmtId="0" fontId="3" fillId="2" borderId="10" xfId="0" applyFont="1" applyFill="1" applyBorder="1" applyAlignment="1"/>
    <xf numFmtId="2" fontId="4" fillId="2" borderId="39" xfId="0" applyNumberFormat="1" applyFont="1" applyFill="1" applyBorder="1" applyAlignment="1"/>
    <xf numFmtId="0" fontId="4" fillId="2" borderId="39" xfId="0" applyFont="1" applyFill="1" applyBorder="1" applyAlignment="1"/>
    <xf numFmtId="164" fontId="4" fillId="2" borderId="39" xfId="1" applyFont="1" applyFill="1" applyBorder="1" applyAlignment="1">
      <alignment horizontal="right"/>
    </xf>
    <xf numFmtId="164" fontId="4" fillId="2" borderId="40" xfId="1" applyFont="1" applyFill="1" applyBorder="1" applyAlignment="1">
      <alignment horizontal="right"/>
    </xf>
    <xf numFmtId="0" fontId="3" fillId="2" borderId="13" xfId="0" applyFont="1" applyFill="1" applyBorder="1" applyAlignment="1">
      <alignment horizontal="left" vertical="top" wrapText="1"/>
    </xf>
    <xf numFmtId="2" fontId="4" fillId="2" borderId="13" xfId="0" applyNumberFormat="1" applyFont="1" applyFill="1" applyBorder="1" applyAlignment="1"/>
    <xf numFmtId="0" fontId="4" fillId="2" borderId="13" xfId="0" applyFont="1" applyFill="1" applyBorder="1" applyAlignment="1"/>
    <xf numFmtId="164" fontId="4" fillId="2" borderId="13" xfId="1" applyFont="1" applyFill="1" applyBorder="1" applyAlignment="1">
      <alignment horizontal="right"/>
    </xf>
    <xf numFmtId="164" fontId="4" fillId="2" borderId="14" xfId="1" applyFont="1" applyFill="1" applyBorder="1" applyAlignment="1">
      <alignment horizontal="right"/>
    </xf>
    <xf numFmtId="0" fontId="9" fillId="0" borderId="21" xfId="0" applyNumberFormat="1" applyFont="1" applyFill="1" applyBorder="1" applyAlignment="1">
      <alignment horizontal="right" vertical="top"/>
    </xf>
    <xf numFmtId="0" fontId="3" fillId="2" borderId="20" xfId="0" quotePrefix="1" applyFont="1" applyFill="1" applyBorder="1" applyAlignment="1">
      <alignment horizontal="left" vertical="top" wrapText="1"/>
    </xf>
    <xf numFmtId="1" fontId="3" fillId="2" borderId="20" xfId="0" applyNumberFormat="1" applyFont="1" applyFill="1" applyBorder="1" applyAlignment="1"/>
    <xf numFmtId="0" fontId="3" fillId="2" borderId="20" xfId="0" applyFont="1" applyFill="1" applyBorder="1" applyAlignment="1"/>
    <xf numFmtId="164" fontId="3" fillId="2" borderId="20" xfId="1" applyFont="1" applyFill="1" applyBorder="1" applyAlignment="1">
      <alignment horizontal="right"/>
    </xf>
    <xf numFmtId="164" fontId="3" fillId="2" borderId="19" xfId="1" applyFont="1" applyFill="1" applyBorder="1" applyAlignment="1">
      <alignment horizontal="right"/>
    </xf>
    <xf numFmtId="166" fontId="7" fillId="5" borderId="44" xfId="0" quotePrefix="1" applyNumberFormat="1" applyFont="1" applyFill="1" applyBorder="1" applyAlignment="1">
      <alignment horizontal="right" vertical="top"/>
    </xf>
    <xf numFmtId="165" fontId="3" fillId="2" borderId="20" xfId="1" applyNumberFormat="1" applyFont="1" applyFill="1" applyBorder="1" applyAlignment="1">
      <alignment horizontal="right"/>
    </xf>
    <xf numFmtId="164" fontId="3" fillId="3" borderId="20" xfId="1" applyFont="1" applyFill="1" applyBorder="1" applyAlignment="1">
      <alignment horizontal="left"/>
    </xf>
    <xf numFmtId="164" fontId="3" fillId="3" borderId="19" xfId="1" applyFont="1" applyFill="1" applyBorder="1" applyAlignment="1">
      <alignment horizontal="left"/>
    </xf>
    <xf numFmtId="0" fontId="4" fillId="8" borderId="45" xfId="0" applyFont="1" applyFill="1" applyBorder="1" applyAlignment="1">
      <alignment horizontal="left" vertical="top" wrapText="1"/>
    </xf>
    <xf numFmtId="165" fontId="3" fillId="8" borderId="45" xfId="1" applyNumberFormat="1" applyFont="1" applyFill="1" applyBorder="1" applyAlignment="1">
      <alignment horizontal="right"/>
    </xf>
    <xf numFmtId="0" fontId="3" fillId="8" borderId="45" xfId="0" applyFont="1" applyFill="1" applyBorder="1" applyAlignment="1"/>
    <xf numFmtId="164" fontId="3" fillId="8" borderId="45" xfId="1" applyFont="1" applyFill="1" applyBorder="1" applyAlignment="1">
      <alignment horizontal="left"/>
    </xf>
    <xf numFmtId="164" fontId="3" fillId="8" borderId="17" xfId="1" applyFont="1" applyFill="1" applyBorder="1" applyAlignment="1">
      <alignment horizontal="left"/>
    </xf>
    <xf numFmtId="1" fontId="3" fillId="2" borderId="39" xfId="0" applyNumberFormat="1" applyFont="1" applyFill="1" applyBorder="1" applyAlignment="1">
      <alignment horizontal="right"/>
    </xf>
    <xf numFmtId="164" fontId="4" fillId="2" borderId="39" xfId="1" quotePrefix="1" applyFont="1" applyFill="1" applyBorder="1" applyAlignment="1">
      <alignment horizontal="right" vertical="top"/>
    </xf>
    <xf numFmtId="164" fontId="4" fillId="2" borderId="40" xfId="1" quotePrefix="1" applyFont="1" applyFill="1" applyBorder="1" applyAlignment="1">
      <alignment horizontal="right" vertical="top"/>
    </xf>
    <xf numFmtId="0" fontId="16" fillId="0" borderId="46" xfId="0" applyFont="1" applyBorder="1"/>
    <xf numFmtId="164" fontId="16" fillId="0" borderId="47" xfId="1" applyFont="1" applyBorder="1"/>
    <xf numFmtId="0" fontId="2" fillId="0" borderId="46" xfId="0" applyFont="1" applyBorder="1"/>
    <xf numFmtId="164" fontId="0" fillId="0" borderId="26" xfId="1" applyFont="1" applyBorder="1"/>
    <xf numFmtId="0" fontId="2" fillId="0" borderId="28" xfId="0" applyFont="1" applyBorder="1" applyAlignment="1">
      <alignment wrapText="1"/>
    </xf>
    <xf numFmtId="164" fontId="24" fillId="0" borderId="0" xfId="1" applyFont="1" applyFill="1" applyBorder="1"/>
    <xf numFmtId="164" fontId="0" fillId="0" borderId="0" xfId="1" applyFont="1" applyBorder="1"/>
    <xf numFmtId="164" fontId="0" fillId="0" borderId="32" xfId="1" applyFont="1" applyBorder="1"/>
    <xf numFmtId="164" fontId="16" fillId="0" borderId="49" xfId="1" applyFont="1" applyBorder="1"/>
    <xf numFmtId="166" fontId="3" fillId="2" borderId="21" xfId="1" applyNumberFormat="1" applyFont="1" applyFill="1" applyBorder="1" applyAlignment="1">
      <alignment horizontal="right" vertical="top" wrapText="1"/>
    </xf>
    <xf numFmtId="166" fontId="3" fillId="5" borderId="5" xfId="1" applyNumberFormat="1" applyFont="1" applyFill="1" applyBorder="1" applyAlignment="1">
      <alignment horizontal="right" vertical="top" wrapText="1"/>
    </xf>
    <xf numFmtId="166" fontId="7" fillId="5" borderId="5" xfId="1" applyNumberFormat="1" applyFont="1" applyFill="1" applyBorder="1" applyAlignment="1">
      <alignment horizontal="right" vertical="top" wrapText="1"/>
    </xf>
    <xf numFmtId="0" fontId="3" fillId="0" borderId="21" xfId="0" applyFont="1" applyFill="1" applyBorder="1" applyAlignment="1">
      <alignment vertical="top"/>
    </xf>
    <xf numFmtId="0" fontId="3" fillId="2" borderId="20" xfId="0" applyFont="1" applyFill="1" applyBorder="1" applyAlignment="1">
      <alignment vertical="top" wrapText="1"/>
    </xf>
    <xf numFmtId="2" fontId="3" fillId="2" borderId="20" xfId="1" applyNumberFormat="1" applyFont="1" applyFill="1" applyBorder="1" applyAlignment="1"/>
    <xf numFmtId="1" fontId="4" fillId="0" borderId="21" xfId="1" applyNumberFormat="1" applyFont="1" applyFill="1" applyBorder="1" applyAlignment="1">
      <alignment horizontal="right" vertical="top" wrapText="1"/>
    </xf>
    <xf numFmtId="0" fontId="4" fillId="2" borderId="20" xfId="0" applyFont="1" applyFill="1" applyBorder="1" applyAlignment="1"/>
    <xf numFmtId="166" fontId="4" fillId="0" borderId="12" xfId="0" quotePrefix="1" applyNumberFormat="1" applyFont="1" applyFill="1" applyBorder="1" applyAlignment="1">
      <alignment horizontal="right" vertical="top"/>
    </xf>
    <xf numFmtId="0" fontId="4" fillId="2" borderId="13" xfId="0" applyFont="1" applyFill="1" applyBorder="1" applyAlignment="1">
      <alignment horizontal="left" vertical="top" wrapText="1"/>
    </xf>
    <xf numFmtId="2" fontId="3" fillId="2" borderId="13" xfId="0" applyNumberFormat="1" applyFont="1" applyFill="1" applyBorder="1" applyAlignment="1"/>
    <xf numFmtId="166" fontId="4" fillId="0" borderId="21" xfId="0" quotePrefix="1" applyNumberFormat="1" applyFont="1" applyFill="1" applyBorder="1" applyAlignment="1">
      <alignment horizontal="right" vertical="top"/>
    </xf>
    <xf numFmtId="2" fontId="3" fillId="2" borderId="20" xfId="0" applyNumberFormat="1" applyFont="1" applyFill="1" applyBorder="1" applyAlignment="1"/>
    <xf numFmtId="0" fontId="3" fillId="2" borderId="21" xfId="0" applyFont="1" applyFill="1" applyBorder="1" applyAlignment="1"/>
    <xf numFmtId="165" fontId="3" fillId="2" borderId="20" xfId="1" applyNumberFormat="1" applyFont="1" applyFill="1" applyBorder="1" applyAlignment="1"/>
    <xf numFmtId="166" fontId="3" fillId="0" borderId="21" xfId="0" quotePrefix="1" applyNumberFormat="1" applyFont="1" applyFill="1" applyBorder="1" applyAlignment="1">
      <alignment horizontal="right" vertical="top"/>
    </xf>
    <xf numFmtId="0" fontId="3" fillId="0" borderId="1" xfId="0" applyFont="1" applyFill="1" applyBorder="1" applyAlignment="1">
      <alignment vertical="top" wrapText="1"/>
    </xf>
    <xf numFmtId="0" fontId="3" fillId="0" borderId="50" xfId="0" applyFont="1" applyFill="1" applyBorder="1" applyAlignment="1">
      <alignment vertical="top"/>
    </xf>
    <xf numFmtId="164" fontId="3" fillId="3" borderId="52" xfId="1" applyFont="1" applyFill="1" applyBorder="1" applyAlignment="1">
      <alignment horizontal="left"/>
    </xf>
    <xf numFmtId="165" fontId="3" fillId="2" borderId="1" xfId="1" applyNumberFormat="1" applyFont="1" applyFill="1" applyBorder="1" applyAlignment="1">
      <alignment horizontal="right" vertical="top"/>
    </xf>
    <xf numFmtId="0" fontId="3" fillId="2" borderId="1" xfId="0" applyFont="1" applyFill="1" applyBorder="1" applyAlignment="1">
      <alignment vertical="top"/>
    </xf>
    <xf numFmtId="164" fontId="3" fillId="3" borderId="1" xfId="1" applyFont="1" applyFill="1" applyBorder="1" applyAlignment="1">
      <alignment horizontal="left" vertical="top"/>
    </xf>
    <xf numFmtId="0" fontId="23" fillId="0" borderId="48" xfId="0" applyFont="1" applyFill="1" applyBorder="1" applyAlignment="1">
      <alignment wrapText="1"/>
    </xf>
    <xf numFmtId="2" fontId="3" fillId="2" borderId="0" xfId="1" applyNumberFormat="1" applyFont="1" applyFill="1" applyBorder="1" applyAlignment="1"/>
    <xf numFmtId="164" fontId="0" fillId="0" borderId="28" xfId="1" applyFont="1" applyBorder="1" applyAlignment="1">
      <alignment horizontal="left"/>
    </xf>
    <xf numFmtId="164" fontId="0" fillId="0" borderId="33" xfId="1" applyFont="1" applyBorder="1" applyAlignment="1"/>
    <xf numFmtId="0" fontId="32" fillId="0" borderId="0" xfId="0" applyFont="1"/>
    <xf numFmtId="0" fontId="0" fillId="0" borderId="0" xfId="0" applyAlignment="1">
      <alignment horizontal="center"/>
    </xf>
    <xf numFmtId="2" fontId="3" fillId="2" borderId="1" xfId="0" applyNumberFormat="1" applyFont="1" applyFill="1" applyBorder="1" applyAlignment="1">
      <alignment horizontal="right"/>
    </xf>
    <xf numFmtId="0" fontId="3" fillId="2" borderId="1" xfId="0" applyFont="1" applyFill="1" applyBorder="1" applyAlignment="1">
      <alignment horizontal="left"/>
    </xf>
    <xf numFmtId="0" fontId="4" fillId="0" borderId="1" xfId="0" applyFont="1" applyFill="1" applyBorder="1" applyAlignment="1">
      <alignment horizontal="left" vertical="top" wrapText="1"/>
    </xf>
    <xf numFmtId="0" fontId="3" fillId="0" borderId="1" xfId="0" applyFont="1" applyFill="1" applyBorder="1" applyAlignment="1"/>
    <xf numFmtId="165" fontId="3" fillId="0" borderId="1" xfId="1" applyNumberFormat="1" applyFont="1" applyFill="1" applyBorder="1" applyAlignment="1"/>
    <xf numFmtId="166" fontId="4" fillId="8" borderId="44" xfId="0" applyNumberFormat="1" applyFont="1" applyFill="1" applyBorder="1" applyAlignment="1">
      <alignment horizontal="right" vertical="top"/>
    </xf>
    <xf numFmtId="164" fontId="4" fillId="3" borderId="3" xfId="1" applyFont="1" applyFill="1" applyBorder="1" applyAlignment="1">
      <alignment horizontal="center" wrapText="1"/>
    </xf>
    <xf numFmtId="2" fontId="5" fillId="3" borderId="3" xfId="0" applyNumberFormat="1" applyFont="1" applyFill="1" applyBorder="1" applyAlignment="1">
      <alignment horizontal="center"/>
    </xf>
    <xf numFmtId="0" fontId="5" fillId="3" borderId="3" xfId="0" applyFont="1" applyFill="1" applyBorder="1" applyAlignment="1">
      <alignment horizontal="center"/>
    </xf>
    <xf numFmtId="0" fontId="4" fillId="2" borderId="1" xfId="0" applyFont="1" applyFill="1" applyBorder="1" applyAlignment="1">
      <alignment horizontal="left" wrapText="1"/>
    </xf>
    <xf numFmtId="2" fontId="3" fillId="2" borderId="1" xfId="0" applyNumberFormat="1" applyFont="1" applyFill="1" applyBorder="1" applyAlignment="1">
      <alignment wrapText="1"/>
    </xf>
    <xf numFmtId="0" fontId="33" fillId="0" borderId="0" xfId="0" applyFont="1"/>
    <xf numFmtId="0" fontId="14" fillId="0" borderId="0" xfId="0" applyFont="1"/>
    <xf numFmtId="164" fontId="0" fillId="0" borderId="0" xfId="1" applyFont="1" applyFill="1"/>
    <xf numFmtId="0" fontId="3" fillId="2" borderId="51" xfId="0" applyFont="1" applyFill="1" applyBorder="1" applyAlignment="1">
      <alignment vertical="top" wrapText="1"/>
    </xf>
    <xf numFmtId="0" fontId="3" fillId="2" borderId="0" xfId="0" applyFont="1" applyFill="1" applyBorder="1" applyAlignment="1"/>
    <xf numFmtId="164" fontId="3" fillId="2" borderId="0" xfId="1" applyFont="1" applyFill="1" applyBorder="1" applyAlignment="1">
      <alignment horizontal="right"/>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xf numFmtId="1" fontId="4" fillId="0" borderId="12" xfId="0" applyNumberFormat="1" applyFont="1" applyFill="1" applyBorder="1" applyAlignment="1">
      <alignment horizontal="right" vertical="top"/>
    </xf>
    <xf numFmtId="2" fontId="3" fillId="2" borderId="0" xfId="0" applyNumberFormat="1" applyFont="1" applyFill="1" applyBorder="1" applyAlignment="1"/>
    <xf numFmtId="168" fontId="29" fillId="9" borderId="25" xfId="5" applyFont="1" applyFill="1" applyBorder="1" applyAlignment="1" applyProtection="1">
      <alignment horizontal="center" vertical="center" wrapText="1"/>
    </xf>
    <xf numFmtId="168" fontId="29" fillId="9" borderId="36" xfId="5" applyFont="1" applyFill="1" applyBorder="1" applyAlignment="1" applyProtection="1">
      <alignment horizontal="center" vertical="center" wrapText="1"/>
    </xf>
    <xf numFmtId="0" fontId="21" fillId="0" borderId="0" xfId="0" applyFont="1" applyAlignment="1">
      <alignment horizontal="left"/>
    </xf>
    <xf numFmtId="0" fontId="20" fillId="0" borderId="0" xfId="0" applyFont="1" applyAlignment="1">
      <alignment horizontal="left" vertical="center"/>
    </xf>
    <xf numFmtId="0" fontId="22" fillId="0" borderId="0" xfId="4" applyAlignment="1">
      <alignment horizontal="left" vertical="center"/>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4" borderId="6" xfId="0" applyFont="1" applyFill="1" applyBorder="1" applyAlignment="1">
      <alignment horizontal="left" wrapText="1"/>
    </xf>
    <xf numFmtId="0" fontId="6" fillId="4" borderId="7" xfId="0" applyFont="1" applyFill="1" applyBorder="1" applyAlignment="1">
      <alignment horizontal="left" wrapText="1"/>
    </xf>
    <xf numFmtId="0" fontId="7" fillId="6" borderId="6" xfId="0" applyFont="1" applyFill="1" applyBorder="1" applyAlignment="1">
      <alignment horizontal="left" wrapText="1"/>
    </xf>
    <xf numFmtId="0" fontId="7" fillId="6" borderId="7" xfId="0" applyFont="1" applyFill="1" applyBorder="1" applyAlignment="1">
      <alignment horizontal="left" wrapText="1"/>
    </xf>
    <xf numFmtId="0" fontId="7" fillId="6" borderId="8" xfId="0" applyFont="1" applyFill="1" applyBorder="1" applyAlignment="1">
      <alignment horizontal="left" wrapText="1"/>
    </xf>
    <xf numFmtId="0" fontId="7" fillId="6" borderId="41" xfId="0" applyFont="1" applyFill="1" applyBorder="1" applyAlignment="1">
      <alignment horizontal="left" vertical="top" wrapText="1"/>
    </xf>
    <xf numFmtId="0" fontId="7" fillId="6" borderId="42"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6" xfId="0" applyFont="1" applyFill="1" applyBorder="1" applyAlignment="1">
      <alignment horizontal="left" vertical="top" wrapText="1"/>
    </xf>
    <xf numFmtId="0" fontId="6" fillId="7" borderId="8" xfId="0" applyFont="1" applyFill="1" applyBorder="1" applyAlignment="1">
      <alignment horizontal="left" vertical="top" wrapText="1"/>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xf numFmtId="164" fontId="3" fillId="2" borderId="1" xfId="1" applyNumberFormat="1" applyFont="1" applyFill="1" applyBorder="1" applyAlignment="1">
      <alignment horizontal="right"/>
    </xf>
  </cellXfs>
  <cellStyles count="9">
    <cellStyle name="Comma" xfId="1" builtinId="3"/>
    <cellStyle name="Comma 2" xfId="3" xr:uid="{00000000-0005-0000-0000-000001000000}"/>
    <cellStyle name="Comma 2 2" xfId="5" xr:uid="{00000000-0005-0000-0000-000002000000}"/>
    <cellStyle name="Hyperlink" xfId="4" builtinId="8"/>
    <cellStyle name="Normal" xfId="0" builtinId="0"/>
    <cellStyle name="Normal 2" xfId="2" xr:uid="{00000000-0005-0000-0000-000005000000}"/>
    <cellStyle name="Normal 3" xfId="7" xr:uid="{00000000-0005-0000-0000-000006000000}"/>
    <cellStyle name="Normal 4" xfId="8" xr:uid="{00000000-0005-0000-0000-000007000000}"/>
    <cellStyle name="Normal 7" xfId="6"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1"/>
  <sheetViews>
    <sheetView tabSelected="1" view="pageBreakPreview" zoomScaleNormal="100" zoomScaleSheetLayoutView="100" zoomScalePageLayoutView="85" workbookViewId="0">
      <selection activeCell="A5" sqref="A5"/>
    </sheetView>
  </sheetViews>
  <sheetFormatPr defaultRowHeight="15" x14ac:dyDescent="0.25"/>
  <cols>
    <col min="1" max="1" width="10.85546875" customWidth="1"/>
    <col min="2" max="2" width="31.140625" customWidth="1"/>
    <col min="3" max="3" width="41" customWidth="1"/>
    <col min="4" max="4" width="19.85546875" customWidth="1"/>
    <col min="5" max="9" width="13.140625" customWidth="1"/>
  </cols>
  <sheetData>
    <row r="1" spans="1:6" x14ac:dyDescent="0.25">
      <c r="A1" s="95"/>
      <c r="B1" s="95"/>
      <c r="C1" s="95"/>
      <c r="D1" s="96"/>
      <c r="E1" s="62"/>
      <c r="F1" s="62"/>
    </row>
    <row r="2" spans="1:6" ht="31.5" x14ac:dyDescent="0.5">
      <c r="A2" s="99" t="s">
        <v>148</v>
      </c>
      <c r="B2" s="99"/>
      <c r="C2" s="99"/>
      <c r="D2" s="99"/>
      <c r="E2" s="62"/>
      <c r="F2" s="62"/>
    </row>
    <row r="3" spans="1:6" ht="23.25" x14ac:dyDescent="0.35">
      <c r="A3" s="98" t="s">
        <v>312</v>
      </c>
      <c r="B3" s="98"/>
      <c r="C3" s="98"/>
      <c r="D3" s="98"/>
      <c r="E3" s="62"/>
      <c r="F3" s="62"/>
    </row>
    <row r="4" spans="1:6" x14ac:dyDescent="0.25">
      <c r="A4" s="97" t="s">
        <v>317</v>
      </c>
      <c r="B4" s="97"/>
      <c r="C4" s="97"/>
      <c r="D4" s="97"/>
      <c r="E4" s="62"/>
      <c r="F4" s="62"/>
    </row>
    <row r="5" spans="1:6" ht="17.25" x14ac:dyDescent="0.25">
      <c r="A5" s="97" t="s">
        <v>316</v>
      </c>
      <c r="B5" s="97"/>
      <c r="C5" s="97"/>
      <c r="D5" s="97"/>
      <c r="E5" s="62"/>
      <c r="F5" s="62"/>
    </row>
    <row r="7" spans="1:6" x14ac:dyDescent="0.25">
      <c r="A7" s="107"/>
      <c r="B7" s="108"/>
      <c r="C7" s="108"/>
      <c r="D7" s="108"/>
    </row>
    <row r="8" spans="1:6" ht="30.75" customHeight="1" x14ac:dyDescent="0.25">
      <c r="A8" s="129" t="s">
        <v>141</v>
      </c>
      <c r="B8" s="246" t="s">
        <v>12</v>
      </c>
      <c r="C8" s="247"/>
      <c r="D8" s="130" t="s">
        <v>142</v>
      </c>
    </row>
    <row r="9" spans="1:6" ht="16.5" x14ac:dyDescent="0.25">
      <c r="A9" s="131"/>
      <c r="B9" s="111"/>
      <c r="C9" s="112"/>
      <c r="D9" s="132"/>
    </row>
    <row r="10" spans="1:6" x14ac:dyDescent="0.25">
      <c r="A10" s="116">
        <v>1</v>
      </c>
      <c r="B10" s="116" t="s">
        <v>5</v>
      </c>
      <c r="C10" s="115"/>
      <c r="D10" s="133">
        <f>'GENERAL SUMMARY '!C18</f>
        <v>0</v>
      </c>
    </row>
    <row r="11" spans="1:6" x14ac:dyDescent="0.25">
      <c r="A11" s="116">
        <v>2</v>
      </c>
      <c r="B11" s="116" t="s">
        <v>84</v>
      </c>
      <c r="C11" s="115"/>
      <c r="D11" s="133">
        <f>'GENERAL SUMMARY '!D18</f>
        <v>0</v>
      </c>
    </row>
    <row r="12" spans="1:6" x14ac:dyDescent="0.25">
      <c r="A12" s="116">
        <v>3</v>
      </c>
      <c r="B12" s="116" t="s">
        <v>97</v>
      </c>
      <c r="C12" s="115"/>
      <c r="D12" s="133">
        <f>'GENERAL SUMMARY '!E18</f>
        <v>0</v>
      </c>
    </row>
    <row r="13" spans="1:6" ht="16.5" customHeight="1" x14ac:dyDescent="0.25">
      <c r="A13" s="116">
        <v>4</v>
      </c>
      <c r="B13" s="116" t="s">
        <v>60</v>
      </c>
      <c r="C13" s="115"/>
      <c r="D13" s="133">
        <f>'GENERAL SUMMARY '!F18</f>
        <v>0</v>
      </c>
    </row>
    <row r="14" spans="1:6" ht="16.5" customHeight="1" x14ac:dyDescent="0.25">
      <c r="A14" s="116">
        <v>5</v>
      </c>
      <c r="B14" s="116" t="s">
        <v>143</v>
      </c>
      <c r="C14" s="115"/>
      <c r="D14" s="133">
        <f>'GENERAL SUMMARY '!G18</f>
        <v>0</v>
      </c>
    </row>
    <row r="15" spans="1:6" x14ac:dyDescent="0.25">
      <c r="A15" s="116">
        <v>6</v>
      </c>
      <c r="B15" s="116" t="s">
        <v>48</v>
      </c>
      <c r="C15" s="115"/>
      <c r="D15" s="133">
        <f>'GENERAL SUMMARY '!H18</f>
        <v>0</v>
      </c>
    </row>
    <row r="16" spans="1:6" x14ac:dyDescent="0.25">
      <c r="A16" s="116">
        <v>7</v>
      </c>
      <c r="B16" s="116" t="s">
        <v>113</v>
      </c>
      <c r="C16" s="115"/>
      <c r="D16" s="133">
        <f>'GENERAL SUMMARY '!I18</f>
        <v>0</v>
      </c>
    </row>
    <row r="17" spans="1:4" x14ac:dyDescent="0.25">
      <c r="A17" s="116">
        <v>8</v>
      </c>
      <c r="B17" s="116" t="s">
        <v>45</v>
      </c>
      <c r="C17" s="115"/>
      <c r="D17" s="133">
        <f>'GENERAL SUMMARY '!J18</f>
        <v>0</v>
      </c>
    </row>
    <row r="18" spans="1:4" ht="16.5" customHeight="1" x14ac:dyDescent="0.25">
      <c r="A18" s="116">
        <v>9</v>
      </c>
      <c r="B18" s="116" t="s">
        <v>144</v>
      </c>
      <c r="C18" s="115"/>
      <c r="D18" s="133">
        <f>'GENERAL SUMMARY '!K18</f>
        <v>0</v>
      </c>
    </row>
    <row r="19" spans="1:4" ht="16.5" customHeight="1" x14ac:dyDescent="0.25">
      <c r="A19" s="116">
        <v>10</v>
      </c>
      <c r="B19" s="116" t="s">
        <v>145</v>
      </c>
      <c r="C19" s="115"/>
      <c r="D19" s="133">
        <f>'GENERAL SUMMARY '!L18</f>
        <v>0</v>
      </c>
    </row>
    <row r="20" spans="1:4" x14ac:dyDescent="0.25">
      <c r="A20" s="116">
        <v>11</v>
      </c>
      <c r="B20" s="116" t="s">
        <v>118</v>
      </c>
      <c r="C20" s="115"/>
      <c r="D20" s="133">
        <f>'GENERAL SUMMARY '!M18</f>
        <v>0</v>
      </c>
    </row>
    <row r="21" spans="1:4" x14ac:dyDescent="0.25">
      <c r="A21" s="116">
        <v>12</v>
      </c>
      <c r="B21" s="116" t="s">
        <v>195</v>
      </c>
      <c r="C21" s="115"/>
      <c r="D21" s="133">
        <f>+'BILL 12 Additions'!F2</f>
        <v>0</v>
      </c>
    </row>
    <row r="22" spans="1:4" x14ac:dyDescent="0.25">
      <c r="A22" s="116">
        <v>13</v>
      </c>
      <c r="B22" s="116" t="s">
        <v>196</v>
      </c>
      <c r="C22" s="115"/>
      <c r="D22" s="133">
        <f>-'BILL 13 Omissions'!F2</f>
        <v>0</v>
      </c>
    </row>
    <row r="23" spans="1:4" x14ac:dyDescent="0.25">
      <c r="A23" s="116"/>
      <c r="B23" s="116"/>
      <c r="C23" s="115"/>
      <c r="D23" s="133"/>
    </row>
    <row r="24" spans="1:4" x14ac:dyDescent="0.25">
      <c r="A24" s="116"/>
      <c r="B24" s="116"/>
      <c r="C24" s="115"/>
      <c r="D24" s="133"/>
    </row>
    <row r="25" spans="1:4" x14ac:dyDescent="0.25">
      <c r="A25" s="116"/>
      <c r="B25" s="116"/>
      <c r="C25" s="115"/>
      <c r="D25" s="133"/>
    </row>
    <row r="26" spans="1:4" x14ac:dyDescent="0.25">
      <c r="A26" s="116"/>
      <c r="B26" s="116"/>
      <c r="C26" s="115"/>
      <c r="D26" s="133"/>
    </row>
    <row r="27" spans="1:4" ht="16.5" x14ac:dyDescent="0.25">
      <c r="A27" s="134"/>
      <c r="B27" s="221" t="s">
        <v>146</v>
      </c>
      <c r="C27" s="109"/>
      <c r="D27" s="119">
        <f>SUM(D10:D26)</f>
        <v>0</v>
      </c>
    </row>
    <row r="28" spans="1:4" ht="16.5" x14ac:dyDescent="0.25">
      <c r="A28" s="135"/>
      <c r="B28" s="221" t="s">
        <v>147</v>
      </c>
      <c r="C28" s="114"/>
      <c r="D28" s="119">
        <f>D27*0.06</f>
        <v>0</v>
      </c>
    </row>
    <row r="29" spans="1:4" ht="16.5" x14ac:dyDescent="0.25">
      <c r="A29" s="136"/>
      <c r="B29" s="221" t="s">
        <v>197</v>
      </c>
      <c r="C29" s="110"/>
      <c r="D29" s="119">
        <f>D28+D27</f>
        <v>0</v>
      </c>
    </row>
    <row r="30" spans="1:4" ht="16.5" x14ac:dyDescent="0.25">
      <c r="A30" s="135"/>
      <c r="B30" s="117"/>
      <c r="C30" s="114"/>
      <c r="D30" s="118"/>
    </row>
    <row r="31" spans="1:4" ht="16.5" x14ac:dyDescent="0.25">
      <c r="A31" s="136"/>
      <c r="B31" s="222" t="s">
        <v>152</v>
      </c>
      <c r="C31" s="114"/>
      <c r="D31" s="113"/>
    </row>
  </sheetData>
  <mergeCells count="1">
    <mergeCell ref="B8:C8"/>
  </mergeCells>
  <printOptions horizontalCentered="1"/>
  <pageMargins left="0.1" right="0.1" top="0.75" bottom="0.75" header="0.3" footer="0.3"/>
  <pageSetup paperSize="9" scale="69" fitToHeight="0" orientation="portrait" horizontalDpi="4294967295" verticalDpi="4294967295" r:id="rId1"/>
  <headerFooter>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1"/>
  <sheetViews>
    <sheetView view="pageBreakPreview" zoomScale="85" zoomScaleNormal="85" zoomScaleSheetLayoutView="85" workbookViewId="0">
      <selection activeCell="M25" sqref="M25"/>
    </sheetView>
  </sheetViews>
  <sheetFormatPr defaultRowHeight="15" x14ac:dyDescent="0.25"/>
  <cols>
    <col min="1" max="1" width="4.5703125" bestFit="1" customWidth="1"/>
    <col min="2" max="2" width="53" customWidth="1"/>
    <col min="3" max="3" width="9.140625" bestFit="1" customWidth="1"/>
    <col min="4" max="4" width="5.42578125" customWidth="1"/>
    <col min="5" max="5" width="9.7109375" customWidth="1"/>
    <col min="6" max="6" width="17.28515625" customWidth="1"/>
  </cols>
  <sheetData>
    <row r="1" spans="1:6" x14ac:dyDescent="0.25">
      <c r="A1" s="5" t="s">
        <v>11</v>
      </c>
      <c r="B1" s="6" t="s">
        <v>12</v>
      </c>
      <c r="C1" s="7" t="s">
        <v>13</v>
      </c>
      <c r="D1" s="8" t="s">
        <v>14</v>
      </c>
      <c r="E1" s="6" t="s">
        <v>138</v>
      </c>
      <c r="F1" s="9" t="s">
        <v>15</v>
      </c>
    </row>
    <row r="2" spans="1:6" ht="15.75" thickBot="1" x14ac:dyDescent="0.3">
      <c r="A2" s="10">
        <v>8</v>
      </c>
      <c r="B2" s="251" t="s">
        <v>45</v>
      </c>
      <c r="C2" s="252"/>
      <c r="D2" s="252"/>
      <c r="E2" s="252"/>
      <c r="F2" s="11"/>
    </row>
    <row r="3" spans="1:6" ht="15.75" thickTop="1" x14ac:dyDescent="0.25">
      <c r="A3" s="57"/>
      <c r="B3" s="14"/>
      <c r="C3" s="31"/>
      <c r="D3" s="27"/>
      <c r="E3" s="17"/>
      <c r="F3" s="18"/>
    </row>
    <row r="4" spans="1:6" x14ac:dyDescent="0.25">
      <c r="A4" s="101"/>
      <c r="B4" s="14" t="s">
        <v>17</v>
      </c>
      <c r="C4" s="31"/>
      <c r="D4" s="27"/>
      <c r="E4" s="17"/>
      <c r="F4" s="18"/>
    </row>
    <row r="5" spans="1:6" ht="51" x14ac:dyDescent="0.25">
      <c r="A5" s="25" t="s">
        <v>29</v>
      </c>
      <c r="B5" s="36" t="s">
        <v>128</v>
      </c>
      <c r="C5" s="31"/>
      <c r="D5" s="27"/>
      <c r="E5" s="17"/>
      <c r="F5" s="18"/>
    </row>
    <row r="6" spans="1:6" ht="185.25" customHeight="1" x14ac:dyDescent="0.25">
      <c r="A6" s="25" t="s">
        <v>27</v>
      </c>
      <c r="B6" s="36" t="s">
        <v>129</v>
      </c>
      <c r="C6" s="31"/>
      <c r="D6" s="27"/>
      <c r="E6" s="17"/>
      <c r="F6" s="18"/>
    </row>
    <row r="7" spans="1:6" x14ac:dyDescent="0.25">
      <c r="A7" s="205"/>
      <c r="B7" s="206"/>
      <c r="C7" s="207"/>
      <c r="D7" s="22"/>
      <c r="E7" s="168"/>
      <c r="F7" s="169"/>
    </row>
    <row r="8" spans="1:6" x14ac:dyDescent="0.25">
      <c r="A8" s="176">
        <v>8.1</v>
      </c>
      <c r="B8" s="265" t="s">
        <v>62</v>
      </c>
      <c r="C8" s="266"/>
      <c r="D8" s="266"/>
      <c r="E8" s="266"/>
      <c r="F8" s="32">
        <f>+SUM(F11:F14)</f>
        <v>0</v>
      </c>
    </row>
    <row r="9" spans="1:6" x14ac:dyDescent="0.25">
      <c r="A9" s="208"/>
      <c r="B9" s="84"/>
      <c r="C9" s="209"/>
      <c r="D9" s="173"/>
      <c r="E9" s="80"/>
      <c r="F9" s="34" t="str">
        <f>IF(E9="","",C9*E9)</f>
        <v/>
      </c>
    </row>
    <row r="10" spans="1:6" x14ac:dyDescent="0.25">
      <c r="A10" s="208"/>
      <c r="B10" s="102" t="s">
        <v>130</v>
      </c>
      <c r="C10" s="37"/>
      <c r="D10" s="27"/>
      <c r="E10" s="28"/>
      <c r="F10" s="34" t="str">
        <f>IF(E10="",IF(C10="","",C10*E10),C10*E10)</f>
        <v/>
      </c>
    </row>
    <row r="11" spans="1:6" x14ac:dyDescent="0.25">
      <c r="A11" s="212"/>
      <c r="B11" s="64" t="s">
        <v>158</v>
      </c>
      <c r="C11" s="128">
        <v>287.79000000000002</v>
      </c>
      <c r="D11" s="27" t="s">
        <v>114</v>
      </c>
      <c r="E11" s="28"/>
      <c r="F11" s="34">
        <f>IF(E11="",IF(C11="","",C11*E11),C11*E11)</f>
        <v>0</v>
      </c>
    </row>
    <row r="12" spans="1:6" ht="30" x14ac:dyDescent="0.25">
      <c r="A12" s="212"/>
      <c r="B12" s="123" t="s">
        <v>159</v>
      </c>
      <c r="C12" s="128">
        <v>45.21</v>
      </c>
      <c r="D12" s="27" t="s">
        <v>114</v>
      </c>
      <c r="E12" s="28"/>
      <c r="F12" s="34">
        <f>IF(E12="",IF(C12="","",C12*E12),C12*E12)</f>
        <v>0</v>
      </c>
    </row>
    <row r="13" spans="1:6" x14ac:dyDescent="0.25">
      <c r="A13" s="212"/>
      <c r="B13" s="102" t="s">
        <v>131</v>
      </c>
      <c r="C13" s="128"/>
      <c r="D13" s="27"/>
      <c r="E13" s="28"/>
      <c r="F13" s="34" t="str">
        <f>IF(E13="",IF(C13="","",C13*E13),C13*E13)</f>
        <v/>
      </c>
    </row>
    <row r="14" spans="1:6" x14ac:dyDescent="0.25">
      <c r="A14" s="212"/>
      <c r="B14" s="64" t="s">
        <v>132</v>
      </c>
      <c r="C14" s="128">
        <f>30.484*4.35</f>
        <v>132.6054</v>
      </c>
      <c r="D14" s="27" t="s">
        <v>114</v>
      </c>
      <c r="E14" s="28"/>
      <c r="F14" s="34">
        <f>IF(E14="",IF(C14="","",C14*E14),C14*E14)</f>
        <v>0</v>
      </c>
    </row>
    <row r="15" spans="1:6" x14ac:dyDescent="0.25">
      <c r="A15" s="176">
        <v>8.1999999999999993</v>
      </c>
      <c r="B15" s="265" t="s">
        <v>284</v>
      </c>
      <c r="C15" s="266"/>
      <c r="D15" s="266"/>
      <c r="E15" s="266"/>
      <c r="F15" s="32">
        <f>+SUM(F18:F18)</f>
        <v>0</v>
      </c>
    </row>
    <row r="16" spans="1:6" x14ac:dyDescent="0.25">
      <c r="A16" s="208"/>
      <c r="B16" s="84"/>
      <c r="C16" s="209"/>
      <c r="D16" s="173"/>
      <c r="E16" s="80"/>
      <c r="F16" s="34" t="str">
        <f>IF(E16="","",C16*E16)</f>
        <v/>
      </c>
    </row>
    <row r="17" spans="1:6" x14ac:dyDescent="0.25">
      <c r="A17" s="208"/>
      <c r="B17" s="102" t="s">
        <v>130</v>
      </c>
      <c r="C17" s="37"/>
      <c r="D17" s="27"/>
      <c r="E17" s="28"/>
      <c r="F17" s="34" t="str">
        <f>IF(E17="",IF(C17="","",C17*E17),C17*E17)</f>
        <v/>
      </c>
    </row>
    <row r="18" spans="1:6" x14ac:dyDescent="0.25">
      <c r="A18" s="212"/>
      <c r="B18" s="64" t="s">
        <v>158</v>
      </c>
      <c r="C18" s="128">
        <v>259.27</v>
      </c>
      <c r="D18" s="27" t="s">
        <v>114</v>
      </c>
      <c r="E18" s="28"/>
      <c r="F18" s="34">
        <f>IF(E18="",IF(C18="","",C18*E18),C18*E18)</f>
        <v>0</v>
      </c>
    </row>
    <row r="19" spans="1:6" x14ac:dyDescent="0.25">
      <c r="A19" s="212"/>
      <c r="B19" s="105"/>
      <c r="C19" s="37"/>
      <c r="D19" s="27"/>
      <c r="E19" s="28"/>
      <c r="F19" s="34" t="str">
        <f>IF(E19="","",C19*E19)</f>
        <v/>
      </c>
    </row>
    <row r="20" spans="1:6" x14ac:dyDescent="0.25">
      <c r="A20" s="103"/>
      <c r="B20" s="36"/>
      <c r="C20" s="104"/>
      <c r="D20" s="27"/>
      <c r="E20" s="28"/>
      <c r="F20" s="34" t="str">
        <f>IF(E20="","",C20*E20)</f>
        <v/>
      </c>
    </row>
    <row r="21" spans="1:6" x14ac:dyDescent="0.25">
      <c r="A21" s="145"/>
      <c r="B21" s="146"/>
      <c r="C21" s="146"/>
      <c r="D21" s="146"/>
      <c r="E21" s="146"/>
      <c r="F21" s="147" t="s">
        <v>184</v>
      </c>
    </row>
  </sheetData>
  <mergeCells count="3">
    <mergeCell ref="B2:E2"/>
    <mergeCell ref="B8:E8"/>
    <mergeCell ref="B15:E15"/>
  </mergeCells>
  <pageMargins left="0.7" right="0.7" top="0.75" bottom="0.75" header="0.3" footer="0.3"/>
  <pageSetup paperSize="9" scale="8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6"/>
  <sheetViews>
    <sheetView view="pageBreakPreview" topLeftCell="A7" zoomScale="85" zoomScaleNormal="100" zoomScaleSheetLayoutView="85" workbookViewId="0">
      <selection activeCell="F10" sqref="F10"/>
    </sheetView>
  </sheetViews>
  <sheetFormatPr defaultRowHeight="15" x14ac:dyDescent="0.25"/>
  <cols>
    <col min="1" max="1" width="5.85546875" bestFit="1" customWidth="1"/>
    <col min="2" max="2" width="42.85546875" customWidth="1"/>
    <col min="3" max="3" width="5.42578125" bestFit="1" customWidth="1"/>
    <col min="4" max="4" width="5.85546875" customWidth="1"/>
    <col min="5" max="5" width="12.140625" bestFit="1" customWidth="1"/>
    <col min="6" max="6" width="15.28515625" customWidth="1"/>
  </cols>
  <sheetData>
    <row r="1" spans="1:6" x14ac:dyDescent="0.25">
      <c r="A1" s="5" t="s">
        <v>11</v>
      </c>
      <c r="B1" s="6" t="s">
        <v>12</v>
      </c>
      <c r="C1" s="7" t="s">
        <v>13</v>
      </c>
      <c r="D1" s="8" t="s">
        <v>14</v>
      </c>
      <c r="E1" s="6" t="s">
        <v>138</v>
      </c>
      <c r="F1" s="9" t="s">
        <v>15</v>
      </c>
    </row>
    <row r="2" spans="1:6" ht="15.75" thickBot="1" x14ac:dyDescent="0.3">
      <c r="A2" s="10">
        <v>9</v>
      </c>
      <c r="B2" s="251" t="s">
        <v>31</v>
      </c>
      <c r="C2" s="252"/>
      <c r="D2" s="252"/>
      <c r="E2" s="252"/>
      <c r="F2" s="11"/>
    </row>
    <row r="3" spans="1:6" ht="15.75" thickTop="1" x14ac:dyDescent="0.25">
      <c r="A3" s="57"/>
      <c r="B3" s="14"/>
      <c r="C3" s="31"/>
      <c r="D3" s="27"/>
      <c r="E3" s="17"/>
      <c r="F3" s="18"/>
    </row>
    <row r="4" spans="1:6" x14ac:dyDescent="0.25">
      <c r="A4" s="56" t="s">
        <v>21</v>
      </c>
      <c r="B4" s="14" t="s">
        <v>17</v>
      </c>
      <c r="C4" s="28"/>
      <c r="D4" s="27"/>
      <c r="E4" s="28"/>
      <c r="F4" s="29"/>
    </row>
    <row r="5" spans="1:6" ht="102" x14ac:dyDescent="0.25">
      <c r="A5" s="25">
        <v>1</v>
      </c>
      <c r="B5" s="36" t="s">
        <v>34</v>
      </c>
      <c r="C5" s="28"/>
      <c r="D5" s="27"/>
      <c r="E5" s="28"/>
      <c r="F5" s="29"/>
    </row>
    <row r="6" spans="1:6" ht="76.5" x14ac:dyDescent="0.25">
      <c r="A6" s="25">
        <v>2</v>
      </c>
      <c r="B6" s="36" t="s">
        <v>56</v>
      </c>
      <c r="C6" s="28"/>
      <c r="D6" s="27"/>
      <c r="E6" s="28"/>
      <c r="F6" s="29"/>
    </row>
    <row r="7" spans="1:6" ht="51" x14ac:dyDescent="0.25">
      <c r="A7" s="25">
        <v>3</v>
      </c>
      <c r="B7" s="36" t="s">
        <v>57</v>
      </c>
      <c r="C7" s="28"/>
      <c r="D7" s="27"/>
      <c r="E7" s="28"/>
      <c r="F7" s="29"/>
    </row>
    <row r="8" spans="1:6" ht="25.5" x14ac:dyDescent="0.25">
      <c r="A8" s="25">
        <v>4</v>
      </c>
      <c r="B8" s="36" t="s">
        <v>30</v>
      </c>
      <c r="C8" s="15"/>
      <c r="D8" s="16"/>
      <c r="E8" s="17"/>
      <c r="F8" s="18"/>
    </row>
    <row r="9" spans="1:6" x14ac:dyDescent="0.25">
      <c r="A9" s="19"/>
      <c r="B9" s="165"/>
      <c r="C9" s="166"/>
      <c r="D9" s="167"/>
      <c r="E9" s="168"/>
      <c r="F9" s="169"/>
    </row>
    <row r="10" spans="1:6" x14ac:dyDescent="0.25">
      <c r="A10" s="176">
        <v>9.1</v>
      </c>
      <c r="B10" s="265" t="s">
        <v>62</v>
      </c>
      <c r="C10" s="266"/>
      <c r="D10" s="266"/>
      <c r="E10" s="266"/>
      <c r="F10" s="32">
        <f>SUM(F12:F28)</f>
        <v>0</v>
      </c>
    </row>
    <row r="11" spans="1:6" x14ac:dyDescent="0.25">
      <c r="A11" s="203"/>
      <c r="B11" s="84" t="s">
        <v>32</v>
      </c>
      <c r="C11" s="177"/>
      <c r="D11" s="204"/>
      <c r="E11" s="178"/>
      <c r="F11" s="179"/>
    </row>
    <row r="12" spans="1:6" ht="76.5" x14ac:dyDescent="0.25">
      <c r="A12" s="25">
        <v>1</v>
      </c>
      <c r="B12" s="213" t="s">
        <v>188</v>
      </c>
      <c r="C12" s="45">
        <v>1</v>
      </c>
      <c r="D12" s="27" t="s">
        <v>24</v>
      </c>
      <c r="E12" s="55"/>
      <c r="F12" s="34">
        <f t="shared" ref="F12:F26" si="0">IF(E12="",IF(C12="","",C12*E12),C12*E12)</f>
        <v>0</v>
      </c>
    </row>
    <row r="13" spans="1:6" ht="38.25" x14ac:dyDescent="0.25">
      <c r="A13" s="25">
        <v>2</v>
      </c>
      <c r="B13" s="2" t="s">
        <v>156</v>
      </c>
      <c r="C13" s="45">
        <v>1</v>
      </c>
      <c r="D13" s="27" t="s">
        <v>24</v>
      </c>
      <c r="E13" s="55"/>
      <c r="F13" s="34">
        <f t="shared" si="0"/>
        <v>0</v>
      </c>
    </row>
    <row r="14" spans="1:6" ht="38.25" x14ac:dyDescent="0.25">
      <c r="A14" s="25">
        <v>3</v>
      </c>
      <c r="B14" s="2" t="s">
        <v>214</v>
      </c>
      <c r="C14" s="45">
        <v>1</v>
      </c>
      <c r="D14" s="27" t="s">
        <v>24</v>
      </c>
      <c r="E14" s="55"/>
      <c r="F14" s="34">
        <f t="shared" si="0"/>
        <v>0</v>
      </c>
    </row>
    <row r="15" spans="1:6" x14ac:dyDescent="0.25">
      <c r="A15" s="63">
        <v>4</v>
      </c>
      <c r="B15" s="14" t="s">
        <v>33</v>
      </c>
      <c r="C15" s="45"/>
      <c r="D15" s="16"/>
      <c r="E15" s="17"/>
      <c r="F15" s="34" t="str">
        <f t="shared" si="0"/>
        <v/>
      </c>
    </row>
    <row r="16" spans="1:6" ht="15" customHeight="1" x14ac:dyDescent="0.25">
      <c r="A16" s="25"/>
      <c r="B16" s="2" t="s">
        <v>160</v>
      </c>
      <c r="C16" s="45">
        <v>7</v>
      </c>
      <c r="D16" s="27" t="s">
        <v>10</v>
      </c>
      <c r="E16" s="55"/>
      <c r="F16" s="34">
        <f t="shared" si="0"/>
        <v>0</v>
      </c>
    </row>
    <row r="17" spans="1:6" ht="15" customHeight="1" x14ac:dyDescent="0.25">
      <c r="A17" s="25"/>
      <c r="B17" s="2" t="s">
        <v>287</v>
      </c>
      <c r="C17" s="45">
        <v>4</v>
      </c>
      <c r="D17" s="27" t="s">
        <v>10</v>
      </c>
      <c r="E17" s="55"/>
      <c r="F17" s="34">
        <f t="shared" si="0"/>
        <v>0</v>
      </c>
    </row>
    <row r="18" spans="1:6" ht="15" customHeight="1" x14ac:dyDescent="0.25">
      <c r="A18" s="25"/>
      <c r="B18" s="36" t="s">
        <v>161</v>
      </c>
      <c r="C18" s="45">
        <v>2</v>
      </c>
      <c r="D18" s="27" t="s">
        <v>10</v>
      </c>
      <c r="E18" s="55"/>
      <c r="F18" s="34">
        <f t="shared" si="0"/>
        <v>0</v>
      </c>
    </row>
    <row r="19" spans="1:6" ht="15" customHeight="1" x14ac:dyDescent="0.25">
      <c r="A19" s="25"/>
      <c r="B19" s="2" t="s">
        <v>225</v>
      </c>
      <c r="C19" s="45">
        <v>1</v>
      </c>
      <c r="D19" s="27" t="s">
        <v>10</v>
      </c>
      <c r="E19" s="55"/>
      <c r="F19" s="34">
        <f t="shared" si="0"/>
        <v>0</v>
      </c>
    </row>
    <row r="20" spans="1:6" ht="15" customHeight="1" x14ac:dyDescent="0.25">
      <c r="A20" s="25"/>
      <c r="B20" s="36" t="s">
        <v>288</v>
      </c>
      <c r="C20" s="45">
        <v>1</v>
      </c>
      <c r="D20" s="27" t="s">
        <v>10</v>
      </c>
      <c r="E20" s="55"/>
      <c r="F20" s="34">
        <f t="shared" si="0"/>
        <v>0</v>
      </c>
    </row>
    <row r="21" spans="1:6" x14ac:dyDescent="0.25">
      <c r="A21" s="25"/>
      <c r="B21" s="124" t="s">
        <v>289</v>
      </c>
      <c r="C21" s="45">
        <v>1</v>
      </c>
      <c r="D21" s="27" t="s">
        <v>10</v>
      </c>
      <c r="E21" s="55"/>
      <c r="F21" s="34">
        <f t="shared" si="0"/>
        <v>0</v>
      </c>
    </row>
    <row r="22" spans="1:6" ht="15" customHeight="1" x14ac:dyDescent="0.25">
      <c r="A22" s="25"/>
      <c r="B22" s="36" t="s">
        <v>162</v>
      </c>
      <c r="C22" s="45">
        <v>4</v>
      </c>
      <c r="D22" s="27" t="s">
        <v>10</v>
      </c>
      <c r="E22" s="55"/>
      <c r="F22" s="34">
        <f t="shared" si="0"/>
        <v>0</v>
      </c>
    </row>
    <row r="23" spans="1:6" ht="15" customHeight="1" x14ac:dyDescent="0.25">
      <c r="A23" s="25"/>
      <c r="B23" s="36" t="s">
        <v>226</v>
      </c>
      <c r="C23" s="45">
        <v>17</v>
      </c>
      <c r="D23" s="27" t="s">
        <v>10</v>
      </c>
      <c r="E23" s="55"/>
      <c r="F23" s="34">
        <f t="shared" si="0"/>
        <v>0</v>
      </c>
    </row>
    <row r="24" spans="1:6" ht="15" customHeight="1" x14ac:dyDescent="0.25">
      <c r="A24" s="25"/>
      <c r="B24" s="36" t="s">
        <v>290</v>
      </c>
      <c r="C24" s="45">
        <v>4</v>
      </c>
      <c r="D24" s="27" t="s">
        <v>10</v>
      </c>
      <c r="E24" s="55"/>
      <c r="F24" s="34">
        <f t="shared" si="0"/>
        <v>0</v>
      </c>
    </row>
    <row r="25" spans="1:6" ht="15" customHeight="1" x14ac:dyDescent="0.25">
      <c r="A25" s="25"/>
      <c r="B25" s="36" t="s">
        <v>155</v>
      </c>
      <c r="C25" s="45">
        <v>4</v>
      </c>
      <c r="D25" s="27" t="s">
        <v>10</v>
      </c>
      <c r="E25" s="55"/>
      <c r="F25" s="34">
        <f t="shared" si="0"/>
        <v>0</v>
      </c>
    </row>
    <row r="26" spans="1:6" ht="15" customHeight="1" x14ac:dyDescent="0.25">
      <c r="A26" s="25"/>
      <c r="B26" s="36" t="s">
        <v>291</v>
      </c>
      <c r="C26" s="45">
        <v>1</v>
      </c>
      <c r="D26" s="27" t="s">
        <v>10</v>
      </c>
      <c r="E26" s="55"/>
      <c r="F26" s="34">
        <f t="shared" si="0"/>
        <v>0</v>
      </c>
    </row>
    <row r="27" spans="1:6" ht="15" customHeight="1" x14ac:dyDescent="0.25">
      <c r="A27" s="25"/>
      <c r="B27" s="36" t="s">
        <v>292</v>
      </c>
      <c r="C27" s="45">
        <v>1</v>
      </c>
      <c r="D27" s="27"/>
      <c r="E27" s="55"/>
      <c r="F27" s="34"/>
    </row>
    <row r="28" spans="1:6" ht="15" customHeight="1" x14ac:dyDescent="0.25">
      <c r="A28" s="25"/>
      <c r="B28" s="36" t="s">
        <v>293</v>
      </c>
      <c r="C28" s="45">
        <v>1</v>
      </c>
      <c r="D28" s="27"/>
      <c r="E28" s="55"/>
      <c r="F28" s="34" t="str">
        <f>IF(E28="","",C28*E28)</f>
        <v/>
      </c>
    </row>
    <row r="29" spans="1:6" x14ac:dyDescent="0.25">
      <c r="A29" s="19"/>
      <c r="B29" s="165"/>
      <c r="C29" s="166"/>
      <c r="D29" s="167"/>
      <c r="E29" s="168"/>
      <c r="F29" s="169"/>
    </row>
    <row r="30" spans="1:6" x14ac:dyDescent="0.25">
      <c r="A30" s="176">
        <v>9.1999999999999993</v>
      </c>
      <c r="B30" s="265" t="s">
        <v>63</v>
      </c>
      <c r="C30" s="266"/>
      <c r="D30" s="266"/>
      <c r="E30" s="266"/>
      <c r="F30" s="32">
        <f>SUM(F32:F34)</f>
        <v>0</v>
      </c>
    </row>
    <row r="31" spans="1:6" x14ac:dyDescent="0.25">
      <c r="A31" s="203"/>
      <c r="B31" s="84" t="s">
        <v>32</v>
      </c>
      <c r="C31" s="177"/>
      <c r="D31" s="204"/>
      <c r="E31" s="178"/>
      <c r="F31" s="179"/>
    </row>
    <row r="32" spans="1:6" ht="38.25" x14ac:dyDescent="0.25">
      <c r="A32" s="25">
        <v>1</v>
      </c>
      <c r="B32" s="2" t="s">
        <v>156</v>
      </c>
      <c r="C32" s="45">
        <v>1</v>
      </c>
      <c r="D32" s="27" t="s">
        <v>24</v>
      </c>
      <c r="E32" s="55"/>
      <c r="F32" s="34">
        <f t="shared" ref="F32:F34" si="1">IF(E32="",IF(C32="","",C32*E32),C32*E32)</f>
        <v>0</v>
      </c>
    </row>
    <row r="33" spans="1:6" x14ac:dyDescent="0.25">
      <c r="A33" s="63">
        <v>4</v>
      </c>
      <c r="B33" s="14" t="s">
        <v>33</v>
      </c>
      <c r="C33" s="45"/>
      <c r="D33" s="16"/>
      <c r="E33" s="17"/>
      <c r="F33" s="34" t="str">
        <f t="shared" si="1"/>
        <v/>
      </c>
    </row>
    <row r="34" spans="1:6" ht="15" customHeight="1" x14ac:dyDescent="0.25">
      <c r="A34" s="25"/>
      <c r="B34" s="36" t="s">
        <v>288</v>
      </c>
      <c r="C34" s="45">
        <v>16</v>
      </c>
      <c r="D34" s="27" t="s">
        <v>10</v>
      </c>
      <c r="E34" s="55"/>
      <c r="F34" s="34">
        <f t="shared" si="1"/>
        <v>0</v>
      </c>
    </row>
    <row r="35" spans="1:6" ht="15" customHeight="1" x14ac:dyDescent="0.25">
      <c r="A35" s="25"/>
      <c r="B35" s="36"/>
      <c r="C35" s="45"/>
      <c r="D35" s="27"/>
      <c r="E35" s="55"/>
      <c r="F35" s="34"/>
    </row>
    <row r="36" spans="1:6" x14ac:dyDescent="0.25">
      <c r="A36" s="145"/>
      <c r="B36" s="146"/>
      <c r="C36" s="146"/>
      <c r="D36" s="146"/>
      <c r="E36" s="146"/>
      <c r="F36" s="147" t="s">
        <v>185</v>
      </c>
    </row>
  </sheetData>
  <mergeCells count="3">
    <mergeCell ref="B2:E2"/>
    <mergeCell ref="B10:E10"/>
    <mergeCell ref="B30:E30"/>
  </mergeCells>
  <pageMargins left="0.7" right="0.7" top="0.75" bottom="0.75" header="0.3" footer="0.3"/>
  <pageSetup paperSize="9" scale="85"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73"/>
  <sheetViews>
    <sheetView view="pageBreakPreview" topLeftCell="A55" zoomScale="85" zoomScaleNormal="85" zoomScaleSheetLayoutView="85" workbookViewId="0">
      <selection activeCell="F65" sqref="F65"/>
    </sheetView>
  </sheetViews>
  <sheetFormatPr defaultRowHeight="15" x14ac:dyDescent="0.25"/>
  <cols>
    <col min="1" max="1" width="5.85546875" bestFit="1" customWidth="1"/>
    <col min="2" max="2" width="37" customWidth="1"/>
    <col min="3" max="3" width="8.140625" bestFit="1" customWidth="1"/>
    <col min="4" max="4" width="6.5703125" bestFit="1" customWidth="1"/>
    <col min="5" max="5" width="15.28515625" customWidth="1"/>
    <col min="6" max="6" width="13.28515625" customWidth="1"/>
  </cols>
  <sheetData>
    <row r="1" spans="1:6" x14ac:dyDescent="0.25">
      <c r="A1" s="5" t="s">
        <v>11</v>
      </c>
      <c r="B1" s="6" t="s">
        <v>12</v>
      </c>
      <c r="C1" s="7" t="s">
        <v>13</v>
      </c>
      <c r="D1" s="8" t="s">
        <v>14</v>
      </c>
      <c r="E1" s="6" t="s">
        <v>138</v>
      </c>
      <c r="F1" s="9" t="s">
        <v>15</v>
      </c>
    </row>
    <row r="2" spans="1:6" ht="15.75" customHeight="1" thickBot="1" x14ac:dyDescent="0.3">
      <c r="A2" s="10">
        <v>10</v>
      </c>
      <c r="B2" s="251" t="s">
        <v>43</v>
      </c>
      <c r="C2" s="252"/>
      <c r="D2" s="252"/>
      <c r="E2" s="252"/>
      <c r="F2" s="59"/>
    </row>
    <row r="3" spans="1:6" ht="15.75" thickTop="1" x14ac:dyDescent="0.25">
      <c r="A3" s="13"/>
      <c r="B3" s="14" t="s">
        <v>17</v>
      </c>
      <c r="C3" s="15"/>
      <c r="D3" s="16"/>
      <c r="E3" s="17"/>
      <c r="F3" s="18"/>
    </row>
    <row r="4" spans="1:6" s="44" customFormat="1" ht="63.75" x14ac:dyDescent="0.2">
      <c r="A4" s="25" t="s">
        <v>29</v>
      </c>
      <c r="B4" s="36" t="s">
        <v>42</v>
      </c>
      <c r="C4" s="39"/>
      <c r="D4" s="27"/>
      <c r="E4" s="47"/>
      <c r="F4" s="46"/>
    </row>
    <row r="5" spans="1:6" s="44" customFormat="1" ht="68.25" customHeight="1" x14ac:dyDescent="0.2">
      <c r="A5" s="25" t="s">
        <v>27</v>
      </c>
      <c r="B5" s="36" t="s">
        <v>41</v>
      </c>
      <c r="C5" s="39"/>
      <c r="D5" s="27"/>
      <c r="E5" s="47"/>
      <c r="F5" s="46"/>
    </row>
    <row r="6" spans="1:6" s="44" customFormat="1" ht="38.25" customHeight="1" x14ac:dyDescent="0.2">
      <c r="A6" s="25" t="s">
        <v>40</v>
      </c>
      <c r="B6" s="36" t="s">
        <v>39</v>
      </c>
      <c r="C6" s="39"/>
      <c r="D6" s="27"/>
      <c r="E6" s="47"/>
      <c r="F6" s="46"/>
    </row>
    <row r="7" spans="1:6" s="44" customFormat="1" ht="76.5" customHeight="1" x14ac:dyDescent="0.2">
      <c r="A7" s="25" t="s">
        <v>40</v>
      </c>
      <c r="B7" s="36" t="s">
        <v>59</v>
      </c>
      <c r="C7" s="39"/>
      <c r="D7" s="27"/>
      <c r="E7" s="47"/>
      <c r="F7" s="46"/>
    </row>
    <row r="8" spans="1:6" s="44" customFormat="1" ht="51" x14ac:dyDescent="0.2">
      <c r="A8" s="25" t="s">
        <v>38</v>
      </c>
      <c r="B8" s="36" t="s">
        <v>37</v>
      </c>
      <c r="C8" s="39"/>
      <c r="D8" s="27"/>
      <c r="E8" s="47"/>
      <c r="F8" s="46"/>
    </row>
    <row r="9" spans="1:6" s="50" customFormat="1" ht="25.5" x14ac:dyDescent="0.2">
      <c r="A9" s="25" t="s">
        <v>26</v>
      </c>
      <c r="B9" s="36" t="s">
        <v>25</v>
      </c>
      <c r="C9" s="15"/>
      <c r="D9" s="16"/>
      <c r="E9" s="17"/>
      <c r="F9" s="18"/>
    </row>
    <row r="10" spans="1:6" s="50" customFormat="1" ht="12.75" x14ac:dyDescent="0.2">
      <c r="A10" s="149"/>
      <c r="B10" s="157"/>
      <c r="C10" s="161"/>
      <c r="D10" s="162"/>
      <c r="E10" s="163"/>
      <c r="F10" s="164"/>
    </row>
    <row r="11" spans="1:6" x14ac:dyDescent="0.25">
      <c r="A11" s="176">
        <v>10.1</v>
      </c>
      <c r="B11" s="265" t="s">
        <v>62</v>
      </c>
      <c r="C11" s="266"/>
      <c r="D11" s="266"/>
      <c r="E11" s="266"/>
      <c r="F11" s="32">
        <f>SUM(F14:F43)</f>
        <v>0</v>
      </c>
    </row>
    <row r="12" spans="1:6" x14ac:dyDescent="0.25">
      <c r="A12" s="170"/>
      <c r="B12" s="171"/>
      <c r="C12" s="172"/>
      <c r="D12" s="173"/>
      <c r="E12" s="174"/>
      <c r="F12" s="175"/>
    </row>
    <row r="13" spans="1:6" x14ac:dyDescent="0.25">
      <c r="A13" s="60">
        <v>1</v>
      </c>
      <c r="B13" s="14" t="s">
        <v>36</v>
      </c>
      <c r="C13" s="45"/>
      <c r="D13" s="27"/>
      <c r="E13" s="55"/>
      <c r="F13" s="34" t="str">
        <f t="shared" ref="F13:F41" si="0">IF(E13="",IF(C13="","",C13*E13),C13*E13)</f>
        <v/>
      </c>
    </row>
    <row r="14" spans="1:6" x14ac:dyDescent="0.25">
      <c r="A14" s="25"/>
      <c r="B14" s="36" t="s">
        <v>190</v>
      </c>
      <c r="C14" s="216">
        <v>1</v>
      </c>
      <c r="D14" s="217" t="s">
        <v>24</v>
      </c>
      <c r="E14" s="218"/>
      <c r="F14" s="34">
        <f t="shared" si="0"/>
        <v>0</v>
      </c>
    </row>
    <row r="15" spans="1:6" ht="76.5" x14ac:dyDescent="0.25">
      <c r="A15" s="25"/>
      <c r="B15" s="36" t="s">
        <v>44</v>
      </c>
      <c r="C15" s="216">
        <v>1</v>
      </c>
      <c r="D15" s="217" t="s">
        <v>24</v>
      </c>
      <c r="E15" s="218"/>
      <c r="F15" s="34">
        <f t="shared" si="0"/>
        <v>0</v>
      </c>
    </row>
    <row r="16" spans="1:6" x14ac:dyDescent="0.25">
      <c r="A16" s="25"/>
      <c r="B16" s="36" t="s">
        <v>189</v>
      </c>
      <c r="C16" s="45">
        <v>1</v>
      </c>
      <c r="D16" s="27" t="s">
        <v>24</v>
      </c>
      <c r="E16" s="55"/>
      <c r="F16" s="34">
        <f t="shared" si="0"/>
        <v>0</v>
      </c>
    </row>
    <row r="17" spans="1:6" x14ac:dyDescent="0.25">
      <c r="A17" s="35"/>
      <c r="B17" s="36"/>
      <c r="C17" s="45"/>
      <c r="D17" s="27"/>
      <c r="E17" s="55"/>
      <c r="F17" s="34" t="str">
        <f t="shared" si="0"/>
        <v/>
      </c>
    </row>
    <row r="18" spans="1:6" ht="63.75" customHeight="1" x14ac:dyDescent="0.25">
      <c r="A18" s="60">
        <v>2</v>
      </c>
      <c r="B18" s="14" t="s">
        <v>35</v>
      </c>
      <c r="C18" s="45"/>
      <c r="D18" s="27"/>
      <c r="E18" s="55"/>
      <c r="F18" s="34" t="str">
        <f t="shared" si="0"/>
        <v/>
      </c>
    </row>
    <row r="19" spans="1:6" ht="15" customHeight="1" x14ac:dyDescent="0.25">
      <c r="A19" s="25"/>
      <c r="B19" s="2" t="s">
        <v>294</v>
      </c>
      <c r="C19" s="45">
        <v>8</v>
      </c>
      <c r="D19" s="27" t="s">
        <v>10</v>
      </c>
      <c r="E19" s="55"/>
      <c r="F19" s="34">
        <f t="shared" si="0"/>
        <v>0</v>
      </c>
    </row>
    <row r="20" spans="1:6" ht="15" customHeight="1" x14ac:dyDescent="0.25">
      <c r="A20" s="25"/>
      <c r="B20" s="2" t="s">
        <v>229</v>
      </c>
      <c r="C20" s="45">
        <v>8</v>
      </c>
      <c r="D20" s="27" t="s">
        <v>10</v>
      </c>
      <c r="E20" s="55"/>
      <c r="F20" s="34">
        <f t="shared" si="0"/>
        <v>0</v>
      </c>
    </row>
    <row r="21" spans="1:6" ht="15" customHeight="1" x14ac:dyDescent="0.25">
      <c r="A21" s="25"/>
      <c r="B21" s="2" t="s">
        <v>295</v>
      </c>
      <c r="C21" s="45">
        <v>8</v>
      </c>
      <c r="D21" s="27" t="s">
        <v>10</v>
      </c>
      <c r="E21" s="55"/>
      <c r="F21" s="34">
        <f t="shared" si="0"/>
        <v>0</v>
      </c>
    </row>
    <row r="22" spans="1:6" ht="15" customHeight="1" x14ac:dyDescent="0.25">
      <c r="A22" s="25"/>
      <c r="B22" s="2" t="s">
        <v>168</v>
      </c>
      <c r="C22" s="45">
        <v>4</v>
      </c>
      <c r="D22" s="27" t="s">
        <v>10</v>
      </c>
      <c r="E22" s="55"/>
      <c r="F22" s="34">
        <f t="shared" si="0"/>
        <v>0</v>
      </c>
    </row>
    <row r="23" spans="1:6" ht="15" customHeight="1" x14ac:dyDescent="0.25">
      <c r="A23" s="25"/>
      <c r="B23" s="2" t="s">
        <v>296</v>
      </c>
      <c r="C23" s="45">
        <v>2</v>
      </c>
      <c r="D23" s="27" t="s">
        <v>10</v>
      </c>
      <c r="E23" s="55"/>
      <c r="F23" s="34">
        <f t="shared" si="0"/>
        <v>0</v>
      </c>
    </row>
    <row r="24" spans="1:6" ht="15" customHeight="1" x14ac:dyDescent="0.25">
      <c r="A24" s="25"/>
      <c r="B24" s="2" t="s">
        <v>297</v>
      </c>
      <c r="C24" s="45">
        <v>34</v>
      </c>
      <c r="D24" s="27" t="s">
        <v>10</v>
      </c>
      <c r="E24" s="55"/>
      <c r="F24" s="34">
        <f t="shared" si="0"/>
        <v>0</v>
      </c>
    </row>
    <row r="25" spans="1:6" ht="15" customHeight="1" x14ac:dyDescent="0.25">
      <c r="A25" s="25"/>
      <c r="B25" s="2" t="s">
        <v>298</v>
      </c>
      <c r="C25" s="45">
        <v>2</v>
      </c>
      <c r="D25" s="27" t="s">
        <v>10</v>
      </c>
      <c r="E25" s="55"/>
      <c r="F25" s="34">
        <f t="shared" si="0"/>
        <v>0</v>
      </c>
    </row>
    <row r="26" spans="1:6" ht="15" customHeight="1" x14ac:dyDescent="0.25">
      <c r="A26" s="25"/>
      <c r="B26" s="2" t="s">
        <v>299</v>
      </c>
      <c r="C26" s="45">
        <v>2</v>
      </c>
      <c r="D26" s="27" t="s">
        <v>10</v>
      </c>
      <c r="E26" s="55"/>
      <c r="F26" s="34">
        <f t="shared" si="0"/>
        <v>0</v>
      </c>
    </row>
    <row r="27" spans="1:6" ht="15" customHeight="1" x14ac:dyDescent="0.25">
      <c r="A27" s="25"/>
      <c r="B27" s="2" t="s">
        <v>300</v>
      </c>
      <c r="C27" s="45">
        <v>31</v>
      </c>
      <c r="D27" s="27" t="s">
        <v>10</v>
      </c>
      <c r="E27" s="55"/>
      <c r="F27" s="34">
        <f t="shared" si="0"/>
        <v>0</v>
      </c>
    </row>
    <row r="28" spans="1:6" ht="15" customHeight="1" x14ac:dyDescent="0.25">
      <c r="A28" s="25"/>
      <c r="B28" s="2" t="s">
        <v>227</v>
      </c>
      <c r="C28" s="45">
        <v>4</v>
      </c>
      <c r="D28" s="27" t="s">
        <v>10</v>
      </c>
      <c r="E28" s="55"/>
      <c r="F28" s="34">
        <f t="shared" si="0"/>
        <v>0</v>
      </c>
    </row>
    <row r="29" spans="1:6" ht="15" customHeight="1" x14ac:dyDescent="0.25">
      <c r="A29" s="25"/>
      <c r="B29" s="2" t="s">
        <v>169</v>
      </c>
      <c r="C29" s="45">
        <v>3</v>
      </c>
      <c r="D29" s="27" t="s">
        <v>10</v>
      </c>
      <c r="E29" s="55"/>
      <c r="F29" s="34">
        <f t="shared" si="0"/>
        <v>0</v>
      </c>
    </row>
    <row r="30" spans="1:6" ht="15" customHeight="1" x14ac:dyDescent="0.25">
      <c r="A30" s="25"/>
      <c r="B30" s="2" t="s">
        <v>170</v>
      </c>
      <c r="C30" s="45">
        <v>5</v>
      </c>
      <c r="D30" s="27" t="s">
        <v>10</v>
      </c>
      <c r="E30" s="55"/>
      <c r="F30" s="34">
        <f t="shared" si="0"/>
        <v>0</v>
      </c>
    </row>
    <row r="31" spans="1:6" ht="15" customHeight="1" x14ac:dyDescent="0.25">
      <c r="A31" s="25"/>
      <c r="B31" s="2" t="s">
        <v>171</v>
      </c>
      <c r="C31" s="45">
        <v>2</v>
      </c>
      <c r="D31" s="27" t="s">
        <v>10</v>
      </c>
      <c r="E31" s="55"/>
      <c r="F31" s="34">
        <f t="shared" si="0"/>
        <v>0</v>
      </c>
    </row>
    <row r="32" spans="1:6" ht="15" customHeight="1" x14ac:dyDescent="0.25">
      <c r="A32" s="25"/>
      <c r="B32" s="2" t="s">
        <v>230</v>
      </c>
      <c r="C32" s="45">
        <v>22</v>
      </c>
      <c r="D32" s="27" t="s">
        <v>10</v>
      </c>
      <c r="E32" s="55"/>
      <c r="F32" s="34">
        <f t="shared" si="0"/>
        <v>0</v>
      </c>
    </row>
    <row r="33" spans="1:6" ht="15" customHeight="1" x14ac:dyDescent="0.25">
      <c r="A33" s="25"/>
      <c r="B33" s="2" t="s">
        <v>163</v>
      </c>
      <c r="C33" s="45">
        <v>16</v>
      </c>
      <c r="D33" s="27" t="s">
        <v>10</v>
      </c>
      <c r="E33" s="55"/>
      <c r="F33" s="34">
        <f t="shared" si="0"/>
        <v>0</v>
      </c>
    </row>
    <row r="34" spans="1:6" ht="15" customHeight="1" x14ac:dyDescent="0.25">
      <c r="A34" s="25"/>
      <c r="B34" s="2" t="s">
        <v>164</v>
      </c>
      <c r="C34" s="45">
        <v>6</v>
      </c>
      <c r="D34" s="27" t="s">
        <v>10</v>
      </c>
      <c r="E34" s="55"/>
      <c r="F34" s="34">
        <f t="shared" si="0"/>
        <v>0</v>
      </c>
    </row>
    <row r="35" spans="1:6" ht="15" customHeight="1" x14ac:dyDescent="0.25">
      <c r="A35" s="25"/>
      <c r="B35" s="2" t="s">
        <v>301</v>
      </c>
      <c r="C35" s="45">
        <v>1</v>
      </c>
      <c r="D35" s="27" t="s">
        <v>10</v>
      </c>
      <c r="E35" s="55"/>
      <c r="F35" s="34">
        <f t="shared" si="0"/>
        <v>0</v>
      </c>
    </row>
    <row r="36" spans="1:6" ht="15" customHeight="1" x14ac:dyDescent="0.25">
      <c r="A36" s="25"/>
      <c r="B36" s="2" t="s">
        <v>231</v>
      </c>
      <c r="C36" s="45">
        <v>2</v>
      </c>
      <c r="D36" s="27" t="s">
        <v>10</v>
      </c>
      <c r="E36" s="55"/>
      <c r="F36" s="34">
        <f t="shared" si="0"/>
        <v>0</v>
      </c>
    </row>
    <row r="37" spans="1:6" ht="15" customHeight="1" x14ac:dyDescent="0.25">
      <c r="A37" s="25"/>
      <c r="B37" s="2" t="s">
        <v>165</v>
      </c>
      <c r="C37" s="45">
        <v>8</v>
      </c>
      <c r="D37" s="27" t="s">
        <v>10</v>
      </c>
      <c r="E37" s="55"/>
      <c r="F37" s="34">
        <f t="shared" si="0"/>
        <v>0</v>
      </c>
    </row>
    <row r="38" spans="1:6" ht="15" customHeight="1" x14ac:dyDescent="0.25">
      <c r="A38" s="25"/>
      <c r="B38" s="2" t="s">
        <v>166</v>
      </c>
      <c r="C38" s="45">
        <v>3</v>
      </c>
      <c r="D38" s="27" t="s">
        <v>10</v>
      </c>
      <c r="E38" s="55"/>
      <c r="F38" s="34">
        <f t="shared" si="0"/>
        <v>0</v>
      </c>
    </row>
    <row r="39" spans="1:6" ht="15" customHeight="1" x14ac:dyDescent="0.25">
      <c r="A39" s="25"/>
      <c r="B39" s="2" t="s">
        <v>167</v>
      </c>
      <c r="C39" s="45">
        <v>4</v>
      </c>
      <c r="D39" s="27" t="s">
        <v>10</v>
      </c>
      <c r="E39" s="55"/>
      <c r="F39" s="34">
        <f t="shared" si="0"/>
        <v>0</v>
      </c>
    </row>
    <row r="40" spans="1:6" ht="15" customHeight="1" x14ac:dyDescent="0.25">
      <c r="A40" s="25"/>
      <c r="B40" s="2" t="s">
        <v>302</v>
      </c>
      <c r="C40" s="45">
        <v>4</v>
      </c>
      <c r="D40" s="27" t="s">
        <v>10</v>
      </c>
      <c r="E40" s="55"/>
      <c r="F40" s="34">
        <f t="shared" si="0"/>
        <v>0</v>
      </c>
    </row>
    <row r="41" spans="1:6" ht="15" customHeight="1" x14ac:dyDescent="0.25">
      <c r="A41" s="25"/>
      <c r="B41" s="2" t="s">
        <v>303</v>
      </c>
      <c r="C41" s="45">
        <v>2</v>
      </c>
      <c r="D41" s="27" t="s">
        <v>10</v>
      </c>
      <c r="E41" s="55"/>
      <c r="F41" s="34">
        <f t="shared" si="0"/>
        <v>0</v>
      </c>
    </row>
    <row r="42" spans="1:6" ht="15" customHeight="1" x14ac:dyDescent="0.25">
      <c r="A42" s="25"/>
      <c r="B42" s="2" t="s">
        <v>304</v>
      </c>
      <c r="C42" s="45">
        <v>1</v>
      </c>
      <c r="D42" s="27"/>
      <c r="E42" s="55"/>
      <c r="F42" s="34"/>
    </row>
    <row r="43" spans="1:6" s="50" customFormat="1" ht="12.75" x14ac:dyDescent="0.2">
      <c r="A43" s="149"/>
      <c r="B43" s="157"/>
      <c r="C43" s="161"/>
      <c r="D43" s="162"/>
      <c r="E43" s="163"/>
      <c r="F43" s="164"/>
    </row>
    <row r="44" spans="1:6" x14ac:dyDescent="0.25">
      <c r="A44" s="176">
        <v>10.199999999999999</v>
      </c>
      <c r="B44" s="242" t="s">
        <v>284</v>
      </c>
      <c r="C44" s="243"/>
      <c r="D44" s="243"/>
      <c r="E44" s="243"/>
      <c r="F44" s="32">
        <f>SUM(F47:F63)</f>
        <v>0</v>
      </c>
    </row>
    <row r="45" spans="1:6" x14ac:dyDescent="0.25">
      <c r="A45" s="170"/>
      <c r="B45" s="171"/>
      <c r="C45" s="172"/>
      <c r="D45" s="173"/>
      <c r="E45" s="174"/>
      <c r="F45" s="175"/>
    </row>
    <row r="46" spans="1:6" x14ac:dyDescent="0.25">
      <c r="A46" s="60">
        <v>1</v>
      </c>
      <c r="B46" s="14" t="s">
        <v>36</v>
      </c>
      <c r="C46" s="45"/>
      <c r="D46" s="27"/>
      <c r="E46" s="55"/>
      <c r="F46" s="34" t="str">
        <f t="shared" ref="F46:F62" si="1">IF(E46="",IF(C46="","",C46*E46),C46*E46)</f>
        <v/>
      </c>
    </row>
    <row r="47" spans="1:6" ht="76.5" x14ac:dyDescent="0.25">
      <c r="A47" s="25"/>
      <c r="B47" s="36" t="s">
        <v>44</v>
      </c>
      <c r="C47" s="216">
        <v>1</v>
      </c>
      <c r="D47" s="217" t="s">
        <v>24</v>
      </c>
      <c r="E47" s="218"/>
      <c r="F47" s="34">
        <f t="shared" si="1"/>
        <v>0</v>
      </c>
    </row>
    <row r="48" spans="1:6" x14ac:dyDescent="0.25">
      <c r="A48" s="35"/>
      <c r="B48" s="36"/>
      <c r="C48" s="45"/>
      <c r="D48" s="27"/>
      <c r="E48" s="55"/>
      <c r="F48" s="34" t="str">
        <f t="shared" si="1"/>
        <v/>
      </c>
    </row>
    <row r="49" spans="1:6" ht="63.75" customHeight="1" x14ac:dyDescent="0.25">
      <c r="A49" s="60">
        <v>2</v>
      </c>
      <c r="B49" s="14" t="s">
        <v>35</v>
      </c>
      <c r="C49" s="45"/>
      <c r="D49" s="27"/>
      <c r="E49" s="55"/>
      <c r="F49" s="34" t="str">
        <f t="shared" si="1"/>
        <v/>
      </c>
    </row>
    <row r="50" spans="1:6" ht="15" customHeight="1" x14ac:dyDescent="0.25">
      <c r="A50" s="25"/>
      <c r="B50" s="2" t="s">
        <v>296</v>
      </c>
      <c r="C50" s="45">
        <v>1</v>
      </c>
      <c r="D50" s="27" t="s">
        <v>10</v>
      </c>
      <c r="E50" s="55"/>
      <c r="F50" s="34">
        <f t="shared" si="1"/>
        <v>0</v>
      </c>
    </row>
    <row r="51" spans="1:6" ht="15" customHeight="1" x14ac:dyDescent="0.25">
      <c r="A51" s="25"/>
      <c r="B51" s="2" t="s">
        <v>297</v>
      </c>
      <c r="C51" s="45">
        <v>46</v>
      </c>
      <c r="D51" s="27" t="s">
        <v>10</v>
      </c>
      <c r="E51" s="55"/>
      <c r="F51" s="34">
        <f t="shared" si="1"/>
        <v>0</v>
      </c>
    </row>
    <row r="52" spans="1:6" ht="15" customHeight="1" x14ac:dyDescent="0.25">
      <c r="A52" s="25"/>
      <c r="B52" s="2" t="s">
        <v>300</v>
      </c>
      <c r="C52" s="45">
        <v>34</v>
      </c>
      <c r="D52" s="27" t="s">
        <v>10</v>
      </c>
      <c r="E52" s="55"/>
      <c r="F52" s="34">
        <f t="shared" si="1"/>
        <v>0</v>
      </c>
    </row>
    <row r="53" spans="1:6" ht="15" customHeight="1" x14ac:dyDescent="0.25">
      <c r="A53" s="25"/>
      <c r="B53" s="2" t="s">
        <v>305</v>
      </c>
      <c r="C53" s="45">
        <v>4</v>
      </c>
      <c r="D53" s="27" t="s">
        <v>10</v>
      </c>
      <c r="E53" s="55"/>
      <c r="F53" s="34">
        <f t="shared" si="1"/>
        <v>0</v>
      </c>
    </row>
    <row r="54" spans="1:6" ht="15" customHeight="1" x14ac:dyDescent="0.25">
      <c r="A54" s="25"/>
      <c r="B54" s="2" t="s">
        <v>169</v>
      </c>
      <c r="C54" s="45">
        <v>1</v>
      </c>
      <c r="D54" s="27" t="s">
        <v>10</v>
      </c>
      <c r="E54" s="55"/>
      <c r="F54" s="34">
        <f t="shared" si="1"/>
        <v>0</v>
      </c>
    </row>
    <row r="55" spans="1:6" ht="15" customHeight="1" x14ac:dyDescent="0.25">
      <c r="A55" s="25"/>
      <c r="B55" s="2" t="s">
        <v>171</v>
      </c>
      <c r="C55" s="45">
        <v>3</v>
      </c>
      <c r="D55" s="27" t="s">
        <v>10</v>
      </c>
      <c r="E55" s="55"/>
      <c r="F55" s="34">
        <f t="shared" si="1"/>
        <v>0</v>
      </c>
    </row>
    <row r="56" spans="1:6" ht="15" customHeight="1" x14ac:dyDescent="0.25">
      <c r="A56" s="25"/>
      <c r="B56" s="2" t="s">
        <v>230</v>
      </c>
      <c r="C56" s="45">
        <v>19</v>
      </c>
      <c r="D56" s="27" t="s">
        <v>10</v>
      </c>
      <c r="E56" s="55"/>
      <c r="F56" s="34">
        <f t="shared" si="1"/>
        <v>0</v>
      </c>
    </row>
    <row r="57" spans="1:6" ht="15" customHeight="1" x14ac:dyDescent="0.25">
      <c r="A57" s="25"/>
      <c r="B57" s="2" t="s">
        <v>163</v>
      </c>
      <c r="C57" s="45">
        <v>4</v>
      </c>
      <c r="D57" s="27" t="s">
        <v>10</v>
      </c>
      <c r="E57" s="55"/>
      <c r="F57" s="34">
        <f t="shared" si="1"/>
        <v>0</v>
      </c>
    </row>
    <row r="58" spans="1:6" ht="15" customHeight="1" x14ac:dyDescent="0.25">
      <c r="A58" s="25"/>
      <c r="B58" s="2" t="s">
        <v>164</v>
      </c>
      <c r="C58" s="45">
        <v>2</v>
      </c>
      <c r="D58" s="27" t="s">
        <v>10</v>
      </c>
      <c r="E58" s="55"/>
      <c r="F58" s="34">
        <f t="shared" si="1"/>
        <v>0</v>
      </c>
    </row>
    <row r="59" spans="1:6" ht="15" customHeight="1" x14ac:dyDescent="0.25">
      <c r="A59" s="25"/>
      <c r="B59" s="2" t="s">
        <v>165</v>
      </c>
      <c r="C59" s="45">
        <v>8</v>
      </c>
      <c r="D59" s="27" t="s">
        <v>10</v>
      </c>
      <c r="E59" s="55"/>
      <c r="F59" s="34">
        <f t="shared" si="1"/>
        <v>0</v>
      </c>
    </row>
    <row r="60" spans="1:6" ht="15" customHeight="1" x14ac:dyDescent="0.25">
      <c r="A60" s="25"/>
      <c r="B60" s="2" t="s">
        <v>166</v>
      </c>
      <c r="C60" s="45">
        <v>2</v>
      </c>
      <c r="D60" s="27" t="s">
        <v>10</v>
      </c>
      <c r="E60" s="55"/>
      <c r="F60" s="34">
        <f t="shared" si="1"/>
        <v>0</v>
      </c>
    </row>
    <row r="61" spans="1:6" ht="15" customHeight="1" x14ac:dyDescent="0.25">
      <c r="A61" s="25"/>
      <c r="B61" s="2" t="s">
        <v>167</v>
      </c>
      <c r="C61" s="45">
        <v>2</v>
      </c>
      <c r="D61" s="27" t="s">
        <v>10</v>
      </c>
      <c r="E61" s="55"/>
      <c r="F61" s="34">
        <f t="shared" si="1"/>
        <v>0</v>
      </c>
    </row>
    <row r="62" spans="1:6" ht="15" customHeight="1" x14ac:dyDescent="0.25">
      <c r="A62" s="25"/>
      <c r="B62" s="2" t="s">
        <v>302</v>
      </c>
      <c r="C62" s="45">
        <v>4</v>
      </c>
      <c r="D62" s="27" t="s">
        <v>10</v>
      </c>
      <c r="E62" s="55"/>
      <c r="F62" s="34">
        <f t="shared" si="1"/>
        <v>0</v>
      </c>
    </row>
    <row r="63" spans="1:6" s="50" customFormat="1" ht="12.75" x14ac:dyDescent="0.2">
      <c r="A63" s="149"/>
      <c r="B63" s="157"/>
      <c r="C63" s="161"/>
      <c r="D63" s="162"/>
      <c r="E63" s="163"/>
      <c r="F63" s="164"/>
    </row>
    <row r="64" spans="1:6" x14ac:dyDescent="0.25">
      <c r="A64" s="176">
        <v>10.3</v>
      </c>
      <c r="B64" s="242" t="s">
        <v>63</v>
      </c>
      <c r="C64" s="243"/>
      <c r="D64" s="243"/>
      <c r="E64" s="243"/>
      <c r="F64" s="32">
        <f>SUM(F67:F72)</f>
        <v>0</v>
      </c>
    </row>
    <row r="65" spans="1:6" x14ac:dyDescent="0.25">
      <c r="A65" s="170"/>
      <c r="B65" s="171"/>
      <c r="C65" s="172"/>
      <c r="D65" s="173"/>
      <c r="E65" s="174"/>
      <c r="F65" s="175"/>
    </row>
    <row r="66" spans="1:6" x14ac:dyDescent="0.25">
      <c r="A66" s="60">
        <v>1</v>
      </c>
      <c r="B66" s="14" t="s">
        <v>36</v>
      </c>
      <c r="C66" s="45"/>
      <c r="D66" s="27"/>
      <c r="E66" s="55"/>
      <c r="F66" s="34" t="str">
        <f t="shared" ref="F66:F70" si="2">IF(E66="",IF(C66="","",C66*E66),C66*E66)</f>
        <v/>
      </c>
    </row>
    <row r="67" spans="1:6" ht="76.5" x14ac:dyDescent="0.25">
      <c r="A67" s="25"/>
      <c r="B67" s="36" t="s">
        <v>44</v>
      </c>
      <c r="C67" s="216">
        <v>1</v>
      </c>
      <c r="D67" s="217" t="s">
        <v>24</v>
      </c>
      <c r="E67" s="218"/>
      <c r="F67" s="34">
        <f t="shared" si="2"/>
        <v>0</v>
      </c>
    </row>
    <row r="68" spans="1:6" x14ac:dyDescent="0.25">
      <c r="A68" s="35"/>
      <c r="B68" s="36"/>
      <c r="C68" s="45"/>
      <c r="D68" s="27"/>
      <c r="E68" s="55"/>
      <c r="F68" s="34" t="str">
        <f t="shared" si="2"/>
        <v/>
      </c>
    </row>
    <row r="69" spans="1:6" ht="63.75" customHeight="1" x14ac:dyDescent="0.25">
      <c r="A69" s="60">
        <v>2</v>
      </c>
      <c r="B69" s="14" t="s">
        <v>35</v>
      </c>
      <c r="C69" s="45"/>
      <c r="D69" s="27"/>
      <c r="E69" s="55"/>
      <c r="F69" s="34" t="str">
        <f t="shared" si="2"/>
        <v/>
      </c>
    </row>
    <row r="70" spans="1:6" ht="15" customHeight="1" x14ac:dyDescent="0.25">
      <c r="A70" s="25"/>
      <c r="B70" s="2" t="s">
        <v>307</v>
      </c>
      <c r="C70" s="267">
        <v>61.43</v>
      </c>
      <c r="D70" s="27" t="s">
        <v>306</v>
      </c>
      <c r="E70" s="55"/>
      <c r="F70" s="34">
        <f t="shared" si="2"/>
        <v>0</v>
      </c>
    </row>
    <row r="71" spans="1:6" ht="25.5" x14ac:dyDescent="0.25">
      <c r="A71" s="25"/>
      <c r="B71" s="2" t="s">
        <v>308</v>
      </c>
      <c r="C71" s="267">
        <v>29.36</v>
      </c>
      <c r="D71" s="27" t="s">
        <v>306</v>
      </c>
      <c r="E71" s="55"/>
      <c r="F71" s="34">
        <f t="shared" ref="F71" si="3">IF(E71="",IF(C71="","",C71*E71),C71*E71)</f>
        <v>0</v>
      </c>
    </row>
    <row r="72" spans="1:6" x14ac:dyDescent="0.25">
      <c r="A72" s="30"/>
      <c r="B72" s="14"/>
      <c r="C72" s="31"/>
      <c r="D72" s="27"/>
      <c r="E72" s="17"/>
      <c r="F72" s="34" t="str">
        <f>IF(E72="","",C72*E72)</f>
        <v/>
      </c>
    </row>
    <row r="73" spans="1:6" x14ac:dyDescent="0.25">
      <c r="A73" s="145"/>
      <c r="B73" s="146"/>
      <c r="C73" s="146"/>
      <c r="D73" s="146"/>
      <c r="E73" s="146"/>
      <c r="F73" s="147" t="s">
        <v>186</v>
      </c>
    </row>
  </sheetData>
  <mergeCells count="2">
    <mergeCell ref="B2:E2"/>
    <mergeCell ref="B11:E11"/>
  </mergeCells>
  <pageMargins left="0.7" right="0.7" top="0.75" bottom="0.75" header="0.3" footer="0.3"/>
  <pageSetup paperSize="9" scale="73" orientation="portrait" r:id="rId1"/>
  <headerFooter>
    <oddHeader>&amp;L&amp;A</oddHeader>
    <oddFooter>&amp;R&amp;P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36"/>
  <sheetViews>
    <sheetView view="pageBreakPreview" zoomScale="85" zoomScaleNormal="85" zoomScaleSheetLayoutView="85" workbookViewId="0">
      <selection activeCell="F12" sqref="F12"/>
    </sheetView>
  </sheetViews>
  <sheetFormatPr defaultRowHeight="15" x14ac:dyDescent="0.25"/>
  <cols>
    <col min="1" max="1" width="5.85546875" bestFit="1" customWidth="1"/>
    <col min="2" max="2" width="37" customWidth="1"/>
    <col min="3" max="3" width="5.5703125" customWidth="1"/>
    <col min="4" max="4" width="6.42578125" customWidth="1"/>
    <col min="5" max="5" width="15.28515625" customWidth="1"/>
    <col min="6" max="6" width="17.7109375" customWidth="1"/>
    <col min="14" max="16" width="13.28515625" bestFit="1" customWidth="1"/>
    <col min="17" max="17" width="15.28515625" bestFit="1" customWidth="1"/>
  </cols>
  <sheetData>
    <row r="1" spans="1:6" x14ac:dyDescent="0.25">
      <c r="A1" s="5" t="s">
        <v>11</v>
      </c>
      <c r="B1" s="6" t="s">
        <v>12</v>
      </c>
      <c r="C1" s="7" t="s">
        <v>13</v>
      </c>
      <c r="D1" s="8" t="s">
        <v>14</v>
      </c>
      <c r="E1" s="6" t="s">
        <v>138</v>
      </c>
      <c r="F1" s="9" t="s">
        <v>15</v>
      </c>
    </row>
    <row r="2" spans="1:6" ht="15.75" customHeight="1" thickBot="1" x14ac:dyDescent="0.3">
      <c r="A2" s="10">
        <v>11</v>
      </c>
      <c r="B2" s="251" t="s">
        <v>119</v>
      </c>
      <c r="C2" s="252"/>
      <c r="D2" s="252"/>
      <c r="E2" s="252"/>
      <c r="F2" s="59"/>
    </row>
    <row r="3" spans="1:6" s="50" customFormat="1" ht="13.5" thickTop="1" x14ac:dyDescent="0.2">
      <c r="A3" s="19"/>
      <c r="B3" s="165"/>
      <c r="C3" s="166"/>
      <c r="D3" s="167"/>
      <c r="E3" s="168"/>
      <c r="F3" s="169"/>
    </row>
    <row r="4" spans="1:6" x14ac:dyDescent="0.25">
      <c r="A4" s="176">
        <v>11.1</v>
      </c>
      <c r="B4" s="265" t="s">
        <v>139</v>
      </c>
      <c r="C4" s="266"/>
      <c r="D4" s="266"/>
      <c r="E4" s="266"/>
      <c r="F4" s="32"/>
    </row>
    <row r="5" spans="1:6" x14ac:dyDescent="0.25">
      <c r="A5" s="170"/>
      <c r="B5" s="171"/>
      <c r="C5" s="172"/>
      <c r="D5" s="173"/>
      <c r="E5" s="174"/>
      <c r="F5" s="175"/>
    </row>
    <row r="6" spans="1:6" s="44" customFormat="1" ht="100.5" customHeight="1" x14ac:dyDescent="0.2">
      <c r="A6" s="149" t="s">
        <v>29</v>
      </c>
      <c r="B6" s="157" t="s">
        <v>140</v>
      </c>
      <c r="C6" s="185"/>
      <c r="D6" s="152"/>
      <c r="E6" s="186"/>
      <c r="F6" s="187"/>
    </row>
    <row r="7" spans="1:6" x14ac:dyDescent="0.25">
      <c r="A7" s="230">
        <v>11.2</v>
      </c>
      <c r="B7" s="180" t="s">
        <v>172</v>
      </c>
      <c r="C7" s="181"/>
      <c r="D7" s="182"/>
      <c r="E7" s="183"/>
      <c r="F7" s="184">
        <f>SUM(F9:F11)</f>
        <v>0</v>
      </c>
    </row>
    <row r="9" spans="1:6" ht="26.25" x14ac:dyDescent="0.25">
      <c r="A9" s="25"/>
      <c r="B9" s="58" t="s">
        <v>309</v>
      </c>
      <c r="C9" s="45">
        <v>8</v>
      </c>
      <c r="D9" s="27" t="s">
        <v>24</v>
      </c>
      <c r="E9" s="55"/>
      <c r="F9" s="34">
        <f>IF(E9="",IF(C9="","",C9*E9),C9*E9)</f>
        <v>0</v>
      </c>
    </row>
    <row r="10" spans="1:6" x14ac:dyDescent="0.25">
      <c r="A10" s="25"/>
      <c r="B10" s="58" t="s">
        <v>310</v>
      </c>
      <c r="C10" s="45">
        <v>12</v>
      </c>
      <c r="D10" s="27" t="s">
        <v>24</v>
      </c>
      <c r="E10" s="55"/>
      <c r="F10" s="34">
        <f>IF(E10="",IF(C10="","",C10*E10),C10*E10)</f>
        <v>0</v>
      </c>
    </row>
    <row r="11" spans="1:6" x14ac:dyDescent="0.25">
      <c r="A11" s="25"/>
      <c r="B11" s="58"/>
      <c r="C11" s="45"/>
      <c r="D11" s="27"/>
      <c r="E11" s="55"/>
      <c r="F11" s="34" t="str">
        <f>IF(E11="","",C11*E11)</f>
        <v/>
      </c>
    </row>
    <row r="12" spans="1:6" x14ac:dyDescent="0.25">
      <c r="A12" s="230">
        <v>11.3</v>
      </c>
      <c r="B12" s="180" t="s">
        <v>311</v>
      </c>
      <c r="C12" s="181"/>
      <c r="D12" s="182"/>
      <c r="E12" s="183"/>
      <c r="F12" s="184">
        <f>SUM(F14:F16)</f>
        <v>0</v>
      </c>
    </row>
    <row r="14" spans="1:6" ht="26.25" x14ac:dyDescent="0.25">
      <c r="A14" s="25"/>
      <c r="B14" s="58" t="s">
        <v>309</v>
      </c>
      <c r="C14" s="45">
        <v>8</v>
      </c>
      <c r="D14" s="27" t="s">
        <v>24</v>
      </c>
      <c r="E14" s="55"/>
      <c r="F14" s="34">
        <f>IF(E14="",IF(C14="","",C14*E14),C14*E14)</f>
        <v>0</v>
      </c>
    </row>
    <row r="15" spans="1:6" x14ac:dyDescent="0.25">
      <c r="A15" s="25"/>
      <c r="B15" s="58" t="s">
        <v>310</v>
      </c>
      <c r="C15" s="45">
        <v>2</v>
      </c>
      <c r="D15" s="27" t="s">
        <v>24</v>
      </c>
      <c r="E15" s="55"/>
      <c r="F15" s="34">
        <f>IF(E15="",IF(C15="","",C15*E15),C15*E15)</f>
        <v>0</v>
      </c>
    </row>
    <row r="16" spans="1:6" x14ac:dyDescent="0.25">
      <c r="A16" s="30"/>
      <c r="B16" s="14"/>
      <c r="C16" s="31"/>
      <c r="D16" s="27"/>
      <c r="E16" s="17"/>
      <c r="F16" s="34" t="str">
        <f>IF(E16="","",C16*E16)</f>
        <v/>
      </c>
    </row>
    <row r="17" spans="1:17" x14ac:dyDescent="0.25">
      <c r="A17" s="145"/>
      <c r="B17" s="146"/>
      <c r="C17" s="146"/>
      <c r="D17" s="146"/>
      <c r="E17" s="146"/>
      <c r="F17" s="147" t="s">
        <v>187</v>
      </c>
    </row>
    <row r="21" spans="1:17" x14ac:dyDescent="0.25">
      <c r="P21" s="1"/>
    </row>
    <row r="27" spans="1:17" x14ac:dyDescent="0.25">
      <c r="Q27" s="3"/>
    </row>
    <row r="28" spans="1:17" x14ac:dyDescent="0.25">
      <c r="Q28" s="3"/>
    </row>
    <row r="29" spans="1:17" x14ac:dyDescent="0.25">
      <c r="P29" s="3"/>
    </row>
    <row r="30" spans="1:17" x14ac:dyDescent="0.25">
      <c r="N30" s="1"/>
      <c r="P30" s="3"/>
    </row>
    <row r="31" spans="1:17" x14ac:dyDescent="0.25">
      <c r="P31" s="3"/>
    </row>
    <row r="36" spans="15:15" x14ac:dyDescent="0.25">
      <c r="O36" s="1"/>
    </row>
  </sheetData>
  <mergeCells count="2">
    <mergeCell ref="B2:E2"/>
    <mergeCell ref="B4:E4"/>
  </mergeCells>
  <pageMargins left="0.7" right="0.7" top="0.75" bottom="0.75" header="0.3" footer="0.3"/>
  <pageSetup paperSize="9" scale="85" fitToHeight="0" orientation="portrait" r:id="rId1"/>
  <headerFooter>
    <oddHeader>&amp;L&amp;A</oddHeader>
    <oddFooter>&amp;R&amp;P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58"/>
  <sheetViews>
    <sheetView view="pageBreakPreview" zoomScale="85" zoomScaleNormal="100" zoomScaleSheetLayoutView="85" workbookViewId="0">
      <selection activeCell="M35" sqref="M35"/>
    </sheetView>
  </sheetViews>
  <sheetFormatPr defaultRowHeight="15" x14ac:dyDescent="0.25"/>
  <cols>
    <col min="1" max="1" width="5.42578125" bestFit="1" customWidth="1"/>
    <col min="2" max="2" width="42.5703125" customWidth="1"/>
    <col min="3" max="3" width="9.140625" customWidth="1"/>
    <col min="4" max="4" width="6.28515625" customWidth="1"/>
    <col min="5" max="5" width="10.85546875" customWidth="1"/>
    <col min="6" max="6" width="17.42578125" customWidth="1"/>
  </cols>
  <sheetData>
    <row r="1" spans="1:6" x14ac:dyDescent="0.25">
      <c r="A1" s="5" t="s">
        <v>11</v>
      </c>
      <c r="B1" s="6" t="s">
        <v>12</v>
      </c>
      <c r="C1" s="7" t="s">
        <v>13</v>
      </c>
      <c r="D1" s="8" t="s">
        <v>14</v>
      </c>
      <c r="E1" s="6" t="s">
        <v>121</v>
      </c>
      <c r="F1" s="9" t="s">
        <v>15</v>
      </c>
    </row>
    <row r="2" spans="1:6" ht="15.75" thickBot="1" x14ac:dyDescent="0.3">
      <c r="A2" s="10">
        <v>12</v>
      </c>
      <c r="B2" s="260" t="s">
        <v>192</v>
      </c>
      <c r="C2" s="261"/>
      <c r="D2" s="261"/>
      <c r="E2" s="261"/>
      <c r="F2" s="11">
        <f>+SUM(F4:F56)</f>
        <v>0</v>
      </c>
    </row>
    <row r="3" spans="1:6" ht="15.75" thickTop="1" x14ac:dyDescent="0.25">
      <c r="A3" s="170"/>
      <c r="B3" s="171"/>
      <c r="C3" s="172"/>
      <c r="D3" s="173"/>
      <c r="E3" s="174"/>
      <c r="F3" s="175"/>
    </row>
    <row r="4" spans="1:6" x14ac:dyDescent="0.25">
      <c r="A4" s="60">
        <v>1</v>
      </c>
      <c r="B4" s="14" t="s">
        <v>192</v>
      </c>
      <c r="C4" s="15"/>
      <c r="D4" s="16"/>
      <c r="E4" s="17"/>
      <c r="F4" s="34" t="str">
        <f t="shared" ref="F4:F56" si="0">IF(E4="","",C4*E4)</f>
        <v/>
      </c>
    </row>
    <row r="5" spans="1:6" x14ac:dyDescent="0.25">
      <c r="A5" s="60"/>
      <c r="B5" s="14"/>
      <c r="C5" s="15"/>
      <c r="D5" s="16"/>
      <c r="E5" s="17"/>
      <c r="F5" s="34" t="str">
        <f t="shared" si="0"/>
        <v/>
      </c>
    </row>
    <row r="6" spans="1:6" x14ac:dyDescent="0.25">
      <c r="A6" s="60"/>
      <c r="B6" s="14"/>
      <c r="C6" s="15"/>
      <c r="D6" s="16"/>
      <c r="E6" s="17"/>
      <c r="F6" s="34" t="str">
        <f t="shared" si="0"/>
        <v/>
      </c>
    </row>
    <row r="7" spans="1:6" x14ac:dyDescent="0.25">
      <c r="A7" s="60"/>
      <c r="B7" s="14"/>
      <c r="C7" s="15"/>
      <c r="D7" s="16"/>
      <c r="E7" s="17"/>
      <c r="F7" s="34" t="str">
        <f t="shared" si="0"/>
        <v/>
      </c>
    </row>
    <row r="8" spans="1:6" x14ac:dyDescent="0.25">
      <c r="A8" s="60"/>
      <c r="B8" s="14"/>
      <c r="C8" s="15"/>
      <c r="D8" s="16"/>
      <c r="E8" s="17"/>
      <c r="F8" s="34" t="str">
        <f t="shared" si="0"/>
        <v/>
      </c>
    </row>
    <row r="9" spans="1:6" x14ac:dyDescent="0.25">
      <c r="A9" s="60"/>
      <c r="B9" s="14"/>
      <c r="C9" s="15"/>
      <c r="D9" s="16"/>
      <c r="E9" s="17"/>
      <c r="F9" s="34" t="str">
        <f t="shared" si="0"/>
        <v/>
      </c>
    </row>
    <row r="10" spans="1:6" x14ac:dyDescent="0.25">
      <c r="A10" s="60"/>
      <c r="B10" s="14"/>
      <c r="C10" s="15"/>
      <c r="D10" s="16"/>
      <c r="E10" s="17"/>
      <c r="F10" s="34" t="str">
        <f t="shared" si="0"/>
        <v/>
      </c>
    </row>
    <row r="11" spans="1:6" x14ac:dyDescent="0.25">
      <c r="A11" s="60"/>
      <c r="B11" s="14"/>
      <c r="C11" s="15"/>
      <c r="D11" s="16"/>
      <c r="E11" s="17"/>
      <c r="F11" s="34" t="str">
        <f t="shared" si="0"/>
        <v/>
      </c>
    </row>
    <row r="12" spans="1:6" x14ac:dyDescent="0.25">
      <c r="A12" s="60"/>
      <c r="B12" s="14"/>
      <c r="C12" s="15"/>
      <c r="D12" s="16"/>
      <c r="E12" s="17"/>
      <c r="F12" s="34" t="str">
        <f t="shared" si="0"/>
        <v/>
      </c>
    </row>
    <row r="13" spans="1:6" x14ac:dyDescent="0.25">
      <c r="A13" s="60"/>
      <c r="B13" s="14"/>
      <c r="C13" s="15"/>
      <c r="D13" s="16"/>
      <c r="E13" s="17"/>
      <c r="F13" s="34" t="str">
        <f t="shared" si="0"/>
        <v/>
      </c>
    </row>
    <row r="14" spans="1:6" x14ac:dyDescent="0.25">
      <c r="A14" s="60"/>
      <c r="B14" s="14"/>
      <c r="C14" s="15"/>
      <c r="D14" s="16"/>
      <c r="E14" s="17"/>
      <c r="F14" s="34" t="str">
        <f t="shared" si="0"/>
        <v/>
      </c>
    </row>
    <row r="15" spans="1:6" x14ac:dyDescent="0.25">
      <c r="A15" s="60"/>
      <c r="B15" s="14"/>
      <c r="C15" s="15"/>
      <c r="D15" s="16"/>
      <c r="E15" s="17"/>
      <c r="F15" s="34" t="str">
        <f t="shared" si="0"/>
        <v/>
      </c>
    </row>
    <row r="16" spans="1:6" x14ac:dyDescent="0.25">
      <c r="A16" s="60"/>
      <c r="B16" s="14"/>
      <c r="C16" s="15"/>
      <c r="D16" s="16"/>
      <c r="E16" s="17"/>
      <c r="F16" s="34" t="str">
        <f t="shared" si="0"/>
        <v/>
      </c>
    </row>
    <row r="17" spans="1:6" x14ac:dyDescent="0.25">
      <c r="A17" s="60"/>
      <c r="B17" s="14"/>
      <c r="C17" s="15"/>
      <c r="D17" s="16"/>
      <c r="E17" s="17"/>
      <c r="F17" s="34" t="str">
        <f t="shared" si="0"/>
        <v/>
      </c>
    </row>
    <row r="18" spans="1:6" x14ac:dyDescent="0.25">
      <c r="A18" s="60"/>
      <c r="B18" s="14"/>
      <c r="C18" s="15"/>
      <c r="D18" s="16"/>
      <c r="E18" s="17"/>
      <c r="F18" s="34" t="str">
        <f t="shared" si="0"/>
        <v/>
      </c>
    </row>
    <row r="19" spans="1:6" x14ac:dyDescent="0.25">
      <c r="A19" s="60"/>
      <c r="B19" s="14"/>
      <c r="C19" s="15"/>
      <c r="D19" s="16"/>
      <c r="E19" s="17"/>
      <c r="F19" s="34" t="str">
        <f t="shared" si="0"/>
        <v/>
      </c>
    </row>
    <row r="20" spans="1:6" x14ac:dyDescent="0.25">
      <c r="A20" s="60"/>
      <c r="B20" s="14"/>
      <c r="C20" s="15"/>
      <c r="D20" s="16"/>
      <c r="E20" s="17"/>
      <c r="F20" s="34" t="str">
        <f t="shared" si="0"/>
        <v/>
      </c>
    </row>
    <row r="21" spans="1:6" x14ac:dyDescent="0.25">
      <c r="A21" s="60"/>
      <c r="B21" s="14"/>
      <c r="C21" s="15"/>
      <c r="D21" s="16"/>
      <c r="E21" s="17"/>
      <c r="F21" s="34" t="str">
        <f t="shared" si="0"/>
        <v/>
      </c>
    </row>
    <row r="22" spans="1:6" x14ac:dyDescent="0.25">
      <c r="A22" s="60"/>
      <c r="B22" s="14"/>
      <c r="C22" s="15"/>
      <c r="D22" s="16"/>
      <c r="E22" s="17"/>
      <c r="F22" s="34" t="str">
        <f t="shared" si="0"/>
        <v/>
      </c>
    </row>
    <row r="23" spans="1:6" x14ac:dyDescent="0.25">
      <c r="A23" s="60"/>
      <c r="B23" s="14"/>
      <c r="C23" s="15"/>
      <c r="D23" s="16"/>
      <c r="E23" s="17"/>
      <c r="F23" s="34" t="str">
        <f t="shared" si="0"/>
        <v/>
      </c>
    </row>
    <row r="24" spans="1:6" x14ac:dyDescent="0.25">
      <c r="A24" s="60"/>
      <c r="B24" s="14"/>
      <c r="C24" s="15"/>
      <c r="D24" s="16"/>
      <c r="E24" s="17"/>
      <c r="F24" s="34" t="str">
        <f t="shared" si="0"/>
        <v/>
      </c>
    </row>
    <row r="25" spans="1:6" x14ac:dyDescent="0.25">
      <c r="A25" s="60"/>
      <c r="B25" s="14"/>
      <c r="C25" s="15"/>
      <c r="D25" s="16"/>
      <c r="E25" s="17"/>
      <c r="F25" s="34" t="str">
        <f t="shared" si="0"/>
        <v/>
      </c>
    </row>
    <row r="26" spans="1:6" x14ac:dyDescent="0.25">
      <c r="A26" s="60"/>
      <c r="B26" s="14"/>
      <c r="C26" s="15"/>
      <c r="D26" s="16"/>
      <c r="E26" s="17"/>
      <c r="F26" s="34" t="str">
        <f t="shared" si="0"/>
        <v/>
      </c>
    </row>
    <row r="27" spans="1:6" x14ac:dyDescent="0.25">
      <c r="A27" s="60"/>
      <c r="B27" s="14"/>
      <c r="C27" s="15"/>
      <c r="D27" s="16"/>
      <c r="E27" s="17"/>
      <c r="F27" s="34" t="str">
        <f t="shared" si="0"/>
        <v/>
      </c>
    </row>
    <row r="28" spans="1:6" x14ac:dyDescent="0.25">
      <c r="A28" s="60"/>
      <c r="B28" s="14"/>
      <c r="C28" s="15"/>
      <c r="D28" s="16"/>
      <c r="E28" s="17"/>
      <c r="F28" s="34" t="str">
        <f t="shared" si="0"/>
        <v/>
      </c>
    </row>
    <row r="29" spans="1:6" x14ac:dyDescent="0.25">
      <c r="A29" s="60"/>
      <c r="B29" s="14"/>
      <c r="C29" s="15"/>
      <c r="D29" s="16"/>
      <c r="E29" s="17"/>
      <c r="F29" s="34" t="str">
        <f t="shared" si="0"/>
        <v/>
      </c>
    </row>
    <row r="30" spans="1:6" x14ac:dyDescent="0.25">
      <c r="A30" s="60"/>
      <c r="B30" s="14"/>
      <c r="C30" s="15"/>
      <c r="D30" s="16"/>
      <c r="E30" s="17"/>
      <c r="F30" s="34" t="str">
        <f t="shared" si="0"/>
        <v/>
      </c>
    </row>
    <row r="31" spans="1:6" x14ac:dyDescent="0.25">
      <c r="A31" s="60"/>
      <c r="B31" s="14"/>
      <c r="C31" s="15"/>
      <c r="D31" s="16"/>
      <c r="E31" s="17"/>
      <c r="F31" s="34" t="str">
        <f t="shared" si="0"/>
        <v/>
      </c>
    </row>
    <row r="32" spans="1:6" x14ac:dyDescent="0.25">
      <c r="A32" s="60"/>
      <c r="B32" s="14"/>
      <c r="C32" s="15"/>
      <c r="D32" s="16"/>
      <c r="E32" s="17"/>
      <c r="F32" s="34" t="str">
        <f t="shared" si="0"/>
        <v/>
      </c>
    </row>
    <row r="33" spans="1:6" x14ac:dyDescent="0.25">
      <c r="A33" s="60"/>
      <c r="B33" s="14"/>
      <c r="C33" s="15"/>
      <c r="D33" s="16"/>
      <c r="E33" s="17"/>
      <c r="F33" s="34" t="str">
        <f t="shared" si="0"/>
        <v/>
      </c>
    </row>
    <row r="34" spans="1:6" x14ac:dyDescent="0.25">
      <c r="A34" s="60"/>
      <c r="B34" s="14"/>
      <c r="C34" s="15"/>
      <c r="D34" s="16"/>
      <c r="E34" s="17"/>
      <c r="F34" s="34" t="str">
        <f t="shared" si="0"/>
        <v/>
      </c>
    </row>
    <row r="35" spans="1:6" x14ac:dyDescent="0.25">
      <c r="A35" s="60"/>
      <c r="B35" s="14"/>
      <c r="C35" s="15"/>
      <c r="D35" s="16"/>
      <c r="E35" s="17"/>
      <c r="F35" s="34" t="str">
        <f t="shared" si="0"/>
        <v/>
      </c>
    </row>
    <row r="36" spans="1:6" x14ac:dyDescent="0.25">
      <c r="A36" s="60"/>
      <c r="B36" s="14"/>
      <c r="C36" s="15"/>
      <c r="D36" s="16"/>
      <c r="E36" s="17"/>
      <c r="F36" s="34" t="str">
        <f t="shared" si="0"/>
        <v/>
      </c>
    </row>
    <row r="37" spans="1:6" x14ac:dyDescent="0.25">
      <c r="A37" s="60"/>
      <c r="B37" s="14"/>
      <c r="C37" s="15"/>
      <c r="D37" s="16"/>
      <c r="E37" s="17"/>
      <c r="F37" s="34" t="str">
        <f t="shared" si="0"/>
        <v/>
      </c>
    </row>
    <row r="38" spans="1:6" x14ac:dyDescent="0.25">
      <c r="A38" s="60"/>
      <c r="B38" s="14"/>
      <c r="C38" s="15"/>
      <c r="D38" s="16"/>
      <c r="E38" s="17"/>
      <c r="F38" s="34" t="str">
        <f t="shared" si="0"/>
        <v/>
      </c>
    </row>
    <row r="39" spans="1:6" x14ac:dyDescent="0.25">
      <c r="A39" s="60"/>
      <c r="B39" s="14"/>
      <c r="C39" s="15"/>
      <c r="D39" s="16"/>
      <c r="E39" s="17"/>
      <c r="F39" s="34" t="str">
        <f t="shared" si="0"/>
        <v/>
      </c>
    </row>
    <row r="40" spans="1:6" x14ac:dyDescent="0.25">
      <c r="A40" s="60"/>
      <c r="B40" s="14"/>
      <c r="C40" s="15"/>
      <c r="D40" s="16"/>
      <c r="E40" s="17"/>
      <c r="F40" s="34" t="str">
        <f t="shared" si="0"/>
        <v/>
      </c>
    </row>
    <row r="41" spans="1:6" x14ac:dyDescent="0.25">
      <c r="A41" s="60"/>
      <c r="B41" s="14"/>
      <c r="C41" s="15"/>
      <c r="D41" s="16"/>
      <c r="E41" s="17"/>
      <c r="F41" s="34" t="str">
        <f t="shared" si="0"/>
        <v/>
      </c>
    </row>
    <row r="42" spans="1:6" x14ac:dyDescent="0.25">
      <c r="A42" s="60"/>
      <c r="B42" s="14"/>
      <c r="C42" s="15"/>
      <c r="D42" s="16"/>
      <c r="E42" s="17"/>
      <c r="F42" s="34" t="str">
        <f t="shared" si="0"/>
        <v/>
      </c>
    </row>
    <row r="43" spans="1:6" x14ac:dyDescent="0.25">
      <c r="A43" s="60"/>
      <c r="B43" s="14"/>
      <c r="C43" s="15"/>
      <c r="D43" s="16"/>
      <c r="E43" s="17"/>
      <c r="F43" s="34" t="str">
        <f t="shared" si="0"/>
        <v/>
      </c>
    </row>
    <row r="44" spans="1:6" x14ac:dyDescent="0.25">
      <c r="A44" s="60"/>
      <c r="B44" s="14"/>
      <c r="C44" s="15"/>
      <c r="D44" s="16"/>
      <c r="E44" s="17"/>
      <c r="F44" s="34" t="str">
        <f t="shared" si="0"/>
        <v/>
      </c>
    </row>
    <row r="45" spans="1:6" x14ac:dyDescent="0.25">
      <c r="A45" s="60"/>
      <c r="B45" s="14"/>
      <c r="C45" s="15"/>
      <c r="D45" s="16"/>
      <c r="E45" s="17"/>
      <c r="F45" s="34" t="str">
        <f t="shared" si="0"/>
        <v/>
      </c>
    </row>
    <row r="46" spans="1:6" x14ac:dyDescent="0.25">
      <c r="A46" s="60"/>
      <c r="B46" s="14"/>
      <c r="C46" s="15"/>
      <c r="D46" s="16"/>
      <c r="E46" s="17"/>
      <c r="F46" s="34" t="str">
        <f t="shared" si="0"/>
        <v/>
      </c>
    </row>
    <row r="47" spans="1:6" x14ac:dyDescent="0.25">
      <c r="A47" s="60"/>
      <c r="B47" s="14"/>
      <c r="C47" s="15"/>
      <c r="D47" s="16"/>
      <c r="E47" s="17"/>
      <c r="F47" s="34" t="str">
        <f t="shared" si="0"/>
        <v/>
      </c>
    </row>
    <row r="48" spans="1:6" x14ac:dyDescent="0.25">
      <c r="A48" s="60"/>
      <c r="B48" s="14"/>
      <c r="C48" s="15"/>
      <c r="D48" s="16"/>
      <c r="E48" s="17"/>
      <c r="F48" s="34" t="str">
        <f t="shared" si="0"/>
        <v/>
      </c>
    </row>
    <row r="49" spans="1:8" x14ac:dyDescent="0.25">
      <c r="A49" s="60"/>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20"/>
      <c r="H51" s="120"/>
    </row>
    <row r="52" spans="1:8" x14ac:dyDescent="0.25">
      <c r="A52" s="35"/>
      <c r="B52" s="36"/>
      <c r="C52" s="37"/>
      <c r="D52" s="27"/>
      <c r="E52" s="38"/>
      <c r="F52" s="34" t="str">
        <f t="shared" si="0"/>
        <v/>
      </c>
    </row>
    <row r="53" spans="1:8" x14ac:dyDescent="0.25">
      <c r="A53" s="60"/>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1"/>
      <c r="B57" s="2"/>
      <c r="C57" s="45"/>
      <c r="D57" s="27"/>
      <c r="E57" s="28"/>
      <c r="F57" s="34"/>
    </row>
    <row r="58" spans="1:8" x14ac:dyDescent="0.25">
      <c r="A58" s="145"/>
      <c r="B58" s="146"/>
      <c r="C58" s="146"/>
      <c r="D58" s="146"/>
      <c r="E58" s="146"/>
      <c r="F58" s="147" t="s">
        <v>191</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8"/>
  <sheetViews>
    <sheetView view="pageBreakPreview" zoomScale="85" zoomScaleNormal="100" zoomScaleSheetLayoutView="85" workbookViewId="0">
      <selection activeCell="A3" sqref="A3"/>
    </sheetView>
  </sheetViews>
  <sheetFormatPr defaultRowHeight="15" x14ac:dyDescent="0.25"/>
  <cols>
    <col min="1" max="1" width="5.42578125" bestFit="1" customWidth="1"/>
    <col min="2" max="2" width="42.5703125" customWidth="1"/>
    <col min="3" max="3" width="9.140625" customWidth="1"/>
    <col min="4" max="4" width="6.28515625" customWidth="1"/>
    <col min="5" max="5" width="10.85546875" customWidth="1"/>
    <col min="6" max="6" width="17.42578125" customWidth="1"/>
  </cols>
  <sheetData>
    <row r="1" spans="1:6" x14ac:dyDescent="0.25">
      <c r="A1" s="5" t="s">
        <v>11</v>
      </c>
      <c r="B1" s="6" t="s">
        <v>12</v>
      </c>
      <c r="C1" s="7" t="s">
        <v>13</v>
      </c>
      <c r="D1" s="8" t="s">
        <v>14</v>
      </c>
      <c r="E1" s="6" t="s">
        <v>121</v>
      </c>
      <c r="F1" s="9" t="s">
        <v>15</v>
      </c>
    </row>
    <row r="2" spans="1:6" ht="15.75" thickBot="1" x14ac:dyDescent="0.3">
      <c r="A2" s="10">
        <v>13</v>
      </c>
      <c r="B2" s="260" t="s">
        <v>193</v>
      </c>
      <c r="C2" s="261"/>
      <c r="D2" s="261"/>
      <c r="E2" s="261"/>
      <c r="F2" s="11">
        <f>+SUM(F4:F56)</f>
        <v>0</v>
      </c>
    </row>
    <row r="3" spans="1:6" ht="15.75" thickTop="1" x14ac:dyDescent="0.25">
      <c r="A3" s="170"/>
      <c r="B3" s="171"/>
      <c r="C3" s="172"/>
      <c r="D3" s="173"/>
      <c r="E3" s="174"/>
      <c r="F3" s="175"/>
    </row>
    <row r="4" spans="1:6" x14ac:dyDescent="0.25">
      <c r="A4" s="60">
        <v>1</v>
      </c>
      <c r="B4" s="14" t="s">
        <v>193</v>
      </c>
      <c r="C4" s="15"/>
      <c r="D4" s="16"/>
      <c r="E4" s="17"/>
      <c r="F4" s="34" t="str">
        <f t="shared" ref="F4:F56" si="0">IF(E4="","",C4*E4)</f>
        <v/>
      </c>
    </row>
    <row r="5" spans="1:6" x14ac:dyDescent="0.25">
      <c r="A5" s="60"/>
      <c r="B5" s="14"/>
      <c r="C5" s="15"/>
      <c r="D5" s="16"/>
      <c r="E5" s="17"/>
      <c r="F5" s="34" t="str">
        <f t="shared" si="0"/>
        <v/>
      </c>
    </row>
    <row r="6" spans="1:6" x14ac:dyDescent="0.25">
      <c r="A6" s="60"/>
      <c r="B6" s="14"/>
      <c r="C6" s="15"/>
      <c r="D6" s="16"/>
      <c r="E6" s="17"/>
      <c r="F6" s="34" t="str">
        <f t="shared" si="0"/>
        <v/>
      </c>
    </row>
    <row r="7" spans="1:6" x14ac:dyDescent="0.25">
      <c r="A7" s="60"/>
      <c r="B7" s="14"/>
      <c r="C7" s="15"/>
      <c r="D7" s="16"/>
      <c r="E7" s="17"/>
      <c r="F7" s="34" t="str">
        <f t="shared" si="0"/>
        <v/>
      </c>
    </row>
    <row r="8" spans="1:6" x14ac:dyDescent="0.25">
      <c r="A8" s="60"/>
      <c r="B8" s="14"/>
      <c r="C8" s="15"/>
      <c r="D8" s="16"/>
      <c r="E8" s="17"/>
      <c r="F8" s="34" t="str">
        <f t="shared" si="0"/>
        <v/>
      </c>
    </row>
    <row r="9" spans="1:6" x14ac:dyDescent="0.25">
      <c r="A9" s="60"/>
      <c r="B9" s="14"/>
      <c r="C9" s="15"/>
      <c r="D9" s="16"/>
      <c r="E9" s="17"/>
      <c r="F9" s="34" t="str">
        <f t="shared" si="0"/>
        <v/>
      </c>
    </row>
    <row r="10" spans="1:6" x14ac:dyDescent="0.25">
      <c r="A10" s="60"/>
      <c r="B10" s="14"/>
      <c r="C10" s="15"/>
      <c r="D10" s="16"/>
      <c r="E10" s="17"/>
      <c r="F10" s="34" t="str">
        <f t="shared" si="0"/>
        <v/>
      </c>
    </row>
    <row r="11" spans="1:6" x14ac:dyDescent="0.25">
      <c r="A11" s="60"/>
      <c r="B11" s="14"/>
      <c r="C11" s="15"/>
      <c r="D11" s="16"/>
      <c r="E11" s="17"/>
      <c r="F11" s="34" t="str">
        <f t="shared" si="0"/>
        <v/>
      </c>
    </row>
    <row r="12" spans="1:6" x14ac:dyDescent="0.25">
      <c r="A12" s="60"/>
      <c r="B12" s="14"/>
      <c r="C12" s="15"/>
      <c r="D12" s="16"/>
      <c r="E12" s="17"/>
      <c r="F12" s="34" t="str">
        <f t="shared" si="0"/>
        <v/>
      </c>
    </row>
    <row r="13" spans="1:6" x14ac:dyDescent="0.25">
      <c r="A13" s="60"/>
      <c r="B13" s="14"/>
      <c r="C13" s="15"/>
      <c r="D13" s="16"/>
      <c r="E13" s="17"/>
      <c r="F13" s="34" t="str">
        <f t="shared" si="0"/>
        <v/>
      </c>
    </row>
    <row r="14" spans="1:6" x14ac:dyDescent="0.25">
      <c r="A14" s="60"/>
      <c r="B14" s="14"/>
      <c r="C14" s="15"/>
      <c r="D14" s="16"/>
      <c r="E14" s="17"/>
      <c r="F14" s="34" t="str">
        <f t="shared" si="0"/>
        <v/>
      </c>
    </row>
    <row r="15" spans="1:6" x14ac:dyDescent="0.25">
      <c r="A15" s="60"/>
      <c r="B15" s="14"/>
      <c r="C15" s="15"/>
      <c r="D15" s="16"/>
      <c r="E15" s="17"/>
      <c r="F15" s="34" t="str">
        <f t="shared" si="0"/>
        <v/>
      </c>
    </row>
    <row r="16" spans="1:6" x14ac:dyDescent="0.25">
      <c r="A16" s="60"/>
      <c r="B16" s="14"/>
      <c r="C16" s="15"/>
      <c r="D16" s="16"/>
      <c r="E16" s="17"/>
      <c r="F16" s="34" t="str">
        <f t="shared" si="0"/>
        <v/>
      </c>
    </row>
    <row r="17" spans="1:6" x14ac:dyDescent="0.25">
      <c r="A17" s="60"/>
      <c r="B17" s="14"/>
      <c r="C17" s="15"/>
      <c r="D17" s="16"/>
      <c r="E17" s="17"/>
      <c r="F17" s="34" t="str">
        <f t="shared" si="0"/>
        <v/>
      </c>
    </row>
    <row r="18" spans="1:6" x14ac:dyDescent="0.25">
      <c r="A18" s="60"/>
      <c r="B18" s="14"/>
      <c r="C18" s="15"/>
      <c r="D18" s="16"/>
      <c r="E18" s="17"/>
      <c r="F18" s="34" t="str">
        <f t="shared" si="0"/>
        <v/>
      </c>
    </row>
    <row r="19" spans="1:6" x14ac:dyDescent="0.25">
      <c r="A19" s="60"/>
      <c r="B19" s="14"/>
      <c r="C19" s="15"/>
      <c r="D19" s="16"/>
      <c r="E19" s="17"/>
      <c r="F19" s="34" t="str">
        <f t="shared" si="0"/>
        <v/>
      </c>
    </row>
    <row r="20" spans="1:6" x14ac:dyDescent="0.25">
      <c r="A20" s="60"/>
      <c r="B20" s="14"/>
      <c r="C20" s="15"/>
      <c r="D20" s="16"/>
      <c r="E20" s="17"/>
      <c r="F20" s="34" t="str">
        <f t="shared" si="0"/>
        <v/>
      </c>
    </row>
    <row r="21" spans="1:6" x14ac:dyDescent="0.25">
      <c r="A21" s="60"/>
      <c r="B21" s="14"/>
      <c r="C21" s="15"/>
      <c r="D21" s="16"/>
      <c r="E21" s="17"/>
      <c r="F21" s="34" t="str">
        <f t="shared" si="0"/>
        <v/>
      </c>
    </row>
    <row r="22" spans="1:6" x14ac:dyDescent="0.25">
      <c r="A22" s="60"/>
      <c r="B22" s="14"/>
      <c r="C22" s="15"/>
      <c r="D22" s="16"/>
      <c r="E22" s="17"/>
      <c r="F22" s="34" t="str">
        <f t="shared" si="0"/>
        <v/>
      </c>
    </row>
    <row r="23" spans="1:6" x14ac:dyDescent="0.25">
      <c r="A23" s="60"/>
      <c r="B23" s="14"/>
      <c r="C23" s="15"/>
      <c r="D23" s="16"/>
      <c r="E23" s="17"/>
      <c r="F23" s="34" t="str">
        <f t="shared" si="0"/>
        <v/>
      </c>
    </row>
    <row r="24" spans="1:6" x14ac:dyDescent="0.25">
      <c r="A24" s="60"/>
      <c r="B24" s="14"/>
      <c r="C24" s="15"/>
      <c r="D24" s="16"/>
      <c r="E24" s="17"/>
      <c r="F24" s="34" t="str">
        <f t="shared" si="0"/>
        <v/>
      </c>
    </row>
    <row r="25" spans="1:6" x14ac:dyDescent="0.25">
      <c r="A25" s="60"/>
      <c r="B25" s="14"/>
      <c r="C25" s="15"/>
      <c r="D25" s="16"/>
      <c r="E25" s="17"/>
      <c r="F25" s="34" t="str">
        <f t="shared" si="0"/>
        <v/>
      </c>
    </row>
    <row r="26" spans="1:6" x14ac:dyDescent="0.25">
      <c r="A26" s="60"/>
      <c r="B26" s="14"/>
      <c r="C26" s="15"/>
      <c r="D26" s="16"/>
      <c r="E26" s="17"/>
      <c r="F26" s="34" t="str">
        <f t="shared" si="0"/>
        <v/>
      </c>
    </row>
    <row r="27" spans="1:6" x14ac:dyDescent="0.25">
      <c r="A27" s="60"/>
      <c r="B27" s="14"/>
      <c r="C27" s="15"/>
      <c r="D27" s="16"/>
      <c r="E27" s="17"/>
      <c r="F27" s="34" t="str">
        <f t="shared" si="0"/>
        <v/>
      </c>
    </row>
    <row r="28" spans="1:6" x14ac:dyDescent="0.25">
      <c r="A28" s="60"/>
      <c r="B28" s="14"/>
      <c r="C28" s="15"/>
      <c r="D28" s="16"/>
      <c r="E28" s="17"/>
      <c r="F28" s="34" t="str">
        <f t="shared" si="0"/>
        <v/>
      </c>
    </row>
    <row r="29" spans="1:6" x14ac:dyDescent="0.25">
      <c r="A29" s="60"/>
      <c r="B29" s="14"/>
      <c r="C29" s="15"/>
      <c r="D29" s="16"/>
      <c r="E29" s="17"/>
      <c r="F29" s="34" t="str">
        <f t="shared" si="0"/>
        <v/>
      </c>
    </row>
    <row r="30" spans="1:6" x14ac:dyDescent="0.25">
      <c r="A30" s="60"/>
      <c r="B30" s="14"/>
      <c r="C30" s="15"/>
      <c r="D30" s="16"/>
      <c r="E30" s="17"/>
      <c r="F30" s="34" t="str">
        <f t="shared" si="0"/>
        <v/>
      </c>
    </row>
    <row r="31" spans="1:6" x14ac:dyDescent="0.25">
      <c r="A31" s="60"/>
      <c r="B31" s="14"/>
      <c r="C31" s="15"/>
      <c r="D31" s="16"/>
      <c r="E31" s="17"/>
      <c r="F31" s="34" t="str">
        <f t="shared" si="0"/>
        <v/>
      </c>
    </row>
    <row r="32" spans="1:6" x14ac:dyDescent="0.25">
      <c r="A32" s="60"/>
      <c r="B32" s="14"/>
      <c r="C32" s="15"/>
      <c r="D32" s="16"/>
      <c r="E32" s="17"/>
      <c r="F32" s="34" t="str">
        <f t="shared" si="0"/>
        <v/>
      </c>
    </row>
    <row r="33" spans="1:6" x14ac:dyDescent="0.25">
      <c r="A33" s="60"/>
      <c r="B33" s="14"/>
      <c r="C33" s="15"/>
      <c r="D33" s="16"/>
      <c r="E33" s="17"/>
      <c r="F33" s="34" t="str">
        <f t="shared" si="0"/>
        <v/>
      </c>
    </row>
    <row r="34" spans="1:6" x14ac:dyDescent="0.25">
      <c r="A34" s="60"/>
      <c r="B34" s="14"/>
      <c r="C34" s="15"/>
      <c r="D34" s="16"/>
      <c r="E34" s="17"/>
      <c r="F34" s="34" t="str">
        <f t="shared" si="0"/>
        <v/>
      </c>
    </row>
    <row r="35" spans="1:6" x14ac:dyDescent="0.25">
      <c r="A35" s="60"/>
      <c r="B35" s="14"/>
      <c r="C35" s="15"/>
      <c r="D35" s="16"/>
      <c r="E35" s="17"/>
      <c r="F35" s="34" t="str">
        <f t="shared" si="0"/>
        <v/>
      </c>
    </row>
    <row r="36" spans="1:6" x14ac:dyDescent="0.25">
      <c r="A36" s="60"/>
      <c r="B36" s="14"/>
      <c r="C36" s="15"/>
      <c r="D36" s="16"/>
      <c r="E36" s="17"/>
      <c r="F36" s="34" t="str">
        <f t="shared" si="0"/>
        <v/>
      </c>
    </row>
    <row r="37" spans="1:6" x14ac:dyDescent="0.25">
      <c r="A37" s="60"/>
      <c r="B37" s="14"/>
      <c r="C37" s="15"/>
      <c r="D37" s="16"/>
      <c r="E37" s="17"/>
      <c r="F37" s="34" t="str">
        <f t="shared" si="0"/>
        <v/>
      </c>
    </row>
    <row r="38" spans="1:6" x14ac:dyDescent="0.25">
      <c r="A38" s="60"/>
      <c r="B38" s="14"/>
      <c r="C38" s="15"/>
      <c r="D38" s="16"/>
      <c r="E38" s="17"/>
      <c r="F38" s="34" t="str">
        <f t="shared" si="0"/>
        <v/>
      </c>
    </row>
    <row r="39" spans="1:6" x14ac:dyDescent="0.25">
      <c r="A39" s="60"/>
      <c r="B39" s="14"/>
      <c r="C39" s="15"/>
      <c r="D39" s="16"/>
      <c r="E39" s="17"/>
      <c r="F39" s="34" t="str">
        <f t="shared" si="0"/>
        <v/>
      </c>
    </row>
    <row r="40" spans="1:6" x14ac:dyDescent="0.25">
      <c r="A40" s="60"/>
      <c r="B40" s="14"/>
      <c r="C40" s="15"/>
      <c r="D40" s="16"/>
      <c r="E40" s="17"/>
      <c r="F40" s="34" t="str">
        <f t="shared" si="0"/>
        <v/>
      </c>
    </row>
    <row r="41" spans="1:6" x14ac:dyDescent="0.25">
      <c r="A41" s="60"/>
      <c r="B41" s="14"/>
      <c r="C41" s="15"/>
      <c r="D41" s="16"/>
      <c r="E41" s="17"/>
      <c r="F41" s="34" t="str">
        <f t="shared" si="0"/>
        <v/>
      </c>
    </row>
    <row r="42" spans="1:6" x14ac:dyDescent="0.25">
      <c r="A42" s="60"/>
      <c r="B42" s="14"/>
      <c r="C42" s="15"/>
      <c r="D42" s="16"/>
      <c r="E42" s="17"/>
      <c r="F42" s="34" t="str">
        <f t="shared" si="0"/>
        <v/>
      </c>
    </row>
    <row r="43" spans="1:6" x14ac:dyDescent="0.25">
      <c r="A43" s="60"/>
      <c r="B43" s="14"/>
      <c r="C43" s="15"/>
      <c r="D43" s="16"/>
      <c r="E43" s="17"/>
      <c r="F43" s="34" t="str">
        <f t="shared" si="0"/>
        <v/>
      </c>
    </row>
    <row r="44" spans="1:6" x14ac:dyDescent="0.25">
      <c r="A44" s="60"/>
      <c r="B44" s="14"/>
      <c r="C44" s="15"/>
      <c r="D44" s="16"/>
      <c r="E44" s="17"/>
      <c r="F44" s="34" t="str">
        <f t="shared" si="0"/>
        <v/>
      </c>
    </row>
    <row r="45" spans="1:6" x14ac:dyDescent="0.25">
      <c r="A45" s="60"/>
      <c r="B45" s="14"/>
      <c r="C45" s="15"/>
      <c r="D45" s="16"/>
      <c r="E45" s="17"/>
      <c r="F45" s="34" t="str">
        <f t="shared" si="0"/>
        <v/>
      </c>
    </row>
    <row r="46" spans="1:6" x14ac:dyDescent="0.25">
      <c r="A46" s="60"/>
      <c r="B46" s="14"/>
      <c r="C46" s="15"/>
      <c r="D46" s="16"/>
      <c r="E46" s="17"/>
      <c r="F46" s="34" t="str">
        <f t="shared" si="0"/>
        <v/>
      </c>
    </row>
    <row r="47" spans="1:6" x14ac:dyDescent="0.25">
      <c r="A47" s="60"/>
      <c r="B47" s="14"/>
      <c r="C47" s="15"/>
      <c r="D47" s="16"/>
      <c r="E47" s="17"/>
      <c r="F47" s="34" t="str">
        <f t="shared" si="0"/>
        <v/>
      </c>
    </row>
    <row r="48" spans="1:6" x14ac:dyDescent="0.25">
      <c r="A48" s="60"/>
      <c r="B48" s="14"/>
      <c r="C48" s="15"/>
      <c r="D48" s="16"/>
      <c r="E48" s="17"/>
      <c r="F48" s="34" t="str">
        <f t="shared" si="0"/>
        <v/>
      </c>
    </row>
    <row r="49" spans="1:8" x14ac:dyDescent="0.25">
      <c r="A49" s="60"/>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20"/>
      <c r="H51" s="120"/>
    </row>
    <row r="52" spans="1:8" x14ac:dyDescent="0.25">
      <c r="A52" s="35"/>
      <c r="B52" s="36"/>
      <c r="C52" s="37"/>
      <c r="D52" s="27"/>
      <c r="E52" s="38"/>
      <c r="F52" s="34" t="str">
        <f t="shared" si="0"/>
        <v/>
      </c>
    </row>
    <row r="53" spans="1:8" x14ac:dyDescent="0.25">
      <c r="A53" s="60"/>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1"/>
      <c r="B57" s="2"/>
      <c r="C57" s="45"/>
      <c r="D57" s="27"/>
      <c r="E57" s="28"/>
      <c r="F57" s="34"/>
    </row>
    <row r="58" spans="1:8" x14ac:dyDescent="0.25">
      <c r="A58" s="145"/>
      <c r="B58" s="146"/>
      <c r="C58" s="146"/>
      <c r="D58" s="146"/>
      <c r="E58" s="146"/>
      <c r="F58" s="147" t="s">
        <v>194</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4"/>
  <sheetViews>
    <sheetView view="pageBreakPreview" zoomScale="70" zoomScaleNormal="100" zoomScaleSheetLayoutView="70" zoomScalePageLayoutView="85" workbookViewId="0">
      <selection activeCell="A8" sqref="A8"/>
    </sheetView>
  </sheetViews>
  <sheetFormatPr defaultRowHeight="15" x14ac:dyDescent="0.25"/>
  <cols>
    <col min="1" max="1" width="3.7109375" customWidth="1"/>
    <col min="2" max="2" width="31.140625" customWidth="1"/>
    <col min="3" max="3" width="19.28515625" customWidth="1"/>
    <col min="4" max="4" width="17.140625" customWidth="1"/>
    <col min="5" max="5" width="18.140625" customWidth="1"/>
    <col min="6" max="7" width="16.42578125" customWidth="1"/>
    <col min="8" max="8" width="17" customWidth="1"/>
    <col min="9" max="9" width="16.28515625" customWidth="1"/>
    <col min="10" max="10" width="19" customWidth="1"/>
    <col min="11" max="11" width="17.140625" customWidth="1"/>
    <col min="12" max="12" width="15.85546875" customWidth="1"/>
    <col min="13" max="13" width="16.28515625" customWidth="1"/>
    <col min="14" max="18" width="13.140625" customWidth="1"/>
  </cols>
  <sheetData>
    <row r="1" spans="1:15" ht="27.75" customHeight="1" x14ac:dyDescent="0.4">
      <c r="A1" s="248"/>
      <c r="B1" s="248"/>
      <c r="C1" s="248"/>
      <c r="D1" s="248"/>
      <c r="E1" s="248"/>
      <c r="F1" s="248"/>
      <c r="G1" s="248"/>
      <c r="H1" s="248"/>
      <c r="I1" s="248"/>
      <c r="J1" s="248"/>
      <c r="K1" s="248"/>
      <c r="L1" s="248"/>
      <c r="M1" s="62"/>
      <c r="N1" s="62"/>
      <c r="O1" s="62"/>
    </row>
    <row r="2" spans="1:15" x14ac:dyDescent="0.25">
      <c r="A2" s="249"/>
      <c r="B2" s="249"/>
      <c r="C2" s="249"/>
      <c r="D2" s="249"/>
      <c r="E2" s="249"/>
      <c r="F2" s="249"/>
      <c r="G2" s="249"/>
      <c r="H2" s="249"/>
      <c r="I2" s="249"/>
      <c r="J2" s="249"/>
      <c r="K2" s="249"/>
      <c r="L2" s="249"/>
      <c r="M2" s="62"/>
      <c r="N2" s="62"/>
      <c r="O2" s="62"/>
    </row>
    <row r="3" spans="1:15" x14ac:dyDescent="0.25">
      <c r="A3" s="249"/>
      <c r="B3" s="249"/>
      <c r="C3" s="249"/>
      <c r="D3" s="249"/>
      <c r="E3" s="249"/>
      <c r="F3" s="249"/>
      <c r="G3" s="249"/>
      <c r="H3" s="249"/>
      <c r="I3" s="249"/>
      <c r="J3" s="249"/>
      <c r="K3" s="249"/>
      <c r="L3" s="249"/>
      <c r="M3" s="62"/>
      <c r="N3" s="62"/>
      <c r="O3" s="62"/>
    </row>
    <row r="4" spans="1:15" x14ac:dyDescent="0.25">
      <c r="A4" s="250"/>
      <c r="B4" s="250"/>
      <c r="C4" s="250"/>
      <c r="D4" s="250"/>
      <c r="E4" s="250"/>
      <c r="F4" s="250"/>
      <c r="G4" s="250"/>
      <c r="H4" s="250"/>
      <c r="I4" s="250"/>
      <c r="J4" s="250"/>
      <c r="K4" s="250"/>
      <c r="L4" s="250"/>
      <c r="M4" s="62"/>
      <c r="N4" s="62"/>
      <c r="O4" s="62"/>
    </row>
    <row r="5" spans="1:15" x14ac:dyDescent="0.25">
      <c r="A5" s="95"/>
      <c r="B5" s="95"/>
      <c r="C5" s="95"/>
      <c r="D5" s="96"/>
      <c r="E5" s="96"/>
      <c r="F5" s="96"/>
      <c r="G5" s="96"/>
      <c r="H5" s="96"/>
      <c r="I5" s="96"/>
      <c r="J5" s="96"/>
      <c r="K5" s="96"/>
      <c r="L5" s="96"/>
      <c r="M5" s="96"/>
      <c r="N5" s="62"/>
      <c r="O5" s="62"/>
    </row>
    <row r="6" spans="1:15" ht="31.5" x14ac:dyDescent="0.5">
      <c r="A6" s="99" t="s">
        <v>149</v>
      </c>
      <c r="B6" s="99"/>
      <c r="C6" s="99"/>
      <c r="D6" s="99"/>
      <c r="E6" s="99"/>
      <c r="F6" s="99"/>
      <c r="G6" s="99"/>
      <c r="H6" s="99"/>
      <c r="I6" s="99"/>
      <c r="J6" s="99"/>
      <c r="K6" s="99"/>
      <c r="L6" s="99"/>
      <c r="M6" s="99"/>
      <c r="N6" s="62"/>
      <c r="O6" s="62"/>
    </row>
    <row r="7" spans="1:15" ht="23.25" x14ac:dyDescent="0.35">
      <c r="A7" s="98" t="str">
        <f>+'GRAND SUMMARY'!A3</f>
        <v>BOQ FOR COMPLETE WORKS OF MASJID AL-HUDA AT GN. FUVAHMULAH</v>
      </c>
      <c r="B7" s="98"/>
      <c r="C7" s="98"/>
      <c r="D7" s="98"/>
      <c r="E7" s="98"/>
      <c r="F7" s="98"/>
      <c r="G7" s="98"/>
      <c r="H7" s="98"/>
      <c r="I7" s="98"/>
      <c r="J7" s="98"/>
      <c r="K7" s="98"/>
      <c r="L7" s="98"/>
      <c r="M7" s="98"/>
      <c r="N7" s="62"/>
      <c r="O7" s="62"/>
    </row>
    <row r="8" spans="1:15" x14ac:dyDescent="0.25">
      <c r="A8" s="97" t="str">
        <f>+'GRAND SUMMARY'!A4</f>
        <v>MINISTRY OF ISLAMIC AFFAIRS</v>
      </c>
      <c r="B8" s="97"/>
      <c r="C8" s="97"/>
      <c r="D8" s="97"/>
      <c r="E8" s="97"/>
      <c r="F8" s="97"/>
      <c r="G8" s="97"/>
      <c r="H8" s="97"/>
      <c r="I8" s="97"/>
      <c r="J8" s="97"/>
      <c r="K8" s="97"/>
      <c r="L8" s="97"/>
      <c r="M8" s="97"/>
      <c r="N8" s="62"/>
      <c r="O8" s="62"/>
    </row>
    <row r="9" spans="1:15" x14ac:dyDescent="0.25">
      <c r="A9" t="str">
        <f>+'GRAND SUMMARY'!A5</f>
        <v>30th DECEMBER 2019</v>
      </c>
      <c r="I9" s="3"/>
    </row>
    <row r="10" spans="1:15" s="4" customFormat="1" x14ac:dyDescent="0.25">
      <c r="C10" s="4" t="s">
        <v>102</v>
      </c>
      <c r="D10" s="4" t="s">
        <v>103</v>
      </c>
      <c r="E10" s="4" t="s">
        <v>104</v>
      </c>
      <c r="F10" s="4" t="s">
        <v>105</v>
      </c>
      <c r="G10" s="4" t="s">
        <v>106</v>
      </c>
      <c r="H10" s="4" t="s">
        <v>107</v>
      </c>
      <c r="I10" s="4" t="s">
        <v>108</v>
      </c>
      <c r="J10" s="4" t="s">
        <v>109</v>
      </c>
      <c r="K10" s="4" t="s">
        <v>228</v>
      </c>
      <c r="L10" s="4" t="s">
        <v>110</v>
      </c>
      <c r="M10" s="4" t="s">
        <v>120</v>
      </c>
    </row>
    <row r="11" spans="1:15" s="91" customFormat="1" ht="58.5" customHeight="1" x14ac:dyDescent="0.25">
      <c r="A11" s="192"/>
      <c r="B11" s="92"/>
      <c r="C11" s="93" t="s">
        <v>5</v>
      </c>
      <c r="D11" s="93" t="s">
        <v>84</v>
      </c>
      <c r="E11" s="93" t="s">
        <v>46</v>
      </c>
      <c r="F11" s="93" t="s">
        <v>60</v>
      </c>
      <c r="G11" s="93" t="s">
        <v>47</v>
      </c>
      <c r="H11" s="93" t="s">
        <v>48</v>
      </c>
      <c r="I11" s="93" t="s">
        <v>113</v>
      </c>
      <c r="J11" s="93" t="s">
        <v>45</v>
      </c>
      <c r="K11" s="93" t="s">
        <v>31</v>
      </c>
      <c r="L11" s="93" t="s">
        <v>43</v>
      </c>
      <c r="M11" s="219" t="s">
        <v>118</v>
      </c>
    </row>
    <row r="12" spans="1:15" x14ac:dyDescent="0.25">
      <c r="A12" s="139"/>
      <c r="B12" s="94" t="s">
        <v>64</v>
      </c>
      <c r="C12" s="193">
        <f>'BILL 1 PRELIMINARIES'!F2</f>
        <v>0</v>
      </c>
      <c r="D12" s="194">
        <f>'BILL 2 WORKS BELOW GROUND'!F5</f>
        <v>0</v>
      </c>
      <c r="E12" s="194">
        <f>'BILL 3 CONCRETE WORKS'!F12</f>
        <v>0</v>
      </c>
      <c r="F12" s="194"/>
      <c r="G12" s="194"/>
      <c r="H12" s="194"/>
      <c r="I12" s="194"/>
      <c r="J12" s="194"/>
      <c r="K12" s="194"/>
      <c r="L12" s="194"/>
      <c r="M12" s="195"/>
    </row>
    <row r="13" spans="1:15" x14ac:dyDescent="0.25">
      <c r="A13" s="139"/>
      <c r="B13" s="94" t="s">
        <v>111</v>
      </c>
      <c r="C13" s="194"/>
      <c r="D13" s="194"/>
      <c r="E13" s="194">
        <f>'BILL 3 CONCRETE WORKS'!F14</f>
        <v>0</v>
      </c>
      <c r="F13" s="194"/>
      <c r="G13" s="194"/>
      <c r="H13" s="194"/>
      <c r="I13" s="194"/>
      <c r="J13" s="194"/>
      <c r="K13" s="194"/>
      <c r="L13" s="194"/>
      <c r="M13" s="195"/>
    </row>
    <row r="14" spans="1:15" x14ac:dyDescent="0.25">
      <c r="A14" s="139"/>
      <c r="B14" s="94" t="s">
        <v>62</v>
      </c>
      <c r="C14" s="194"/>
      <c r="D14" s="194"/>
      <c r="E14" s="194">
        <f>'BILL 3 CONCRETE WORKS'!F61</f>
        <v>0</v>
      </c>
      <c r="F14" s="194">
        <f>'BILL4 METAL AND CARPENTRY WORKS'!F12</f>
        <v>0</v>
      </c>
      <c r="G14" s="194">
        <f>'BILL 5 MASONRY AND PLASTERING'!F9</f>
        <v>0</v>
      </c>
      <c r="H14" s="194">
        <f>'Bill 6 DOORS AND WINDOWS'!F8</f>
        <v>0</v>
      </c>
      <c r="I14" s="194">
        <f>'Bill 7 PAINTING WORKS'!F8</f>
        <v>0</v>
      </c>
      <c r="J14" s="194">
        <f>'Bill 8 FLOOR FINISHES'!F8</f>
        <v>0</v>
      </c>
      <c r="K14" s="194">
        <f>'BILL 09 HYDRAULICS AND DRAINAGE'!F10</f>
        <v>0</v>
      </c>
      <c r="L14" s="194">
        <f>'BILL 10 ELECTRICAL INSTALLATION'!F11</f>
        <v>0</v>
      </c>
      <c r="M14" s="195">
        <f>'BILL 11 MECHANICAL SYSTEMS'!F7</f>
        <v>0</v>
      </c>
    </row>
    <row r="15" spans="1:15" x14ac:dyDescent="0.25">
      <c r="A15" s="139"/>
      <c r="B15" s="94" t="s">
        <v>284</v>
      </c>
      <c r="C15" s="194"/>
      <c r="D15" s="194"/>
      <c r="E15" s="194">
        <f>'BILL 3 CONCRETE WORKS'!F149</f>
        <v>0</v>
      </c>
      <c r="F15" s="194"/>
      <c r="G15" s="194">
        <f>'BILL 5 MASONRY AND PLASTERING'!F16</f>
        <v>0</v>
      </c>
      <c r="H15" s="194">
        <f>'Bill 6 DOORS AND WINDOWS'!F19</f>
        <v>0</v>
      </c>
      <c r="I15" s="194">
        <f>'Bill 7 PAINTING WORKS'!F12</f>
        <v>0</v>
      </c>
      <c r="J15" s="194">
        <f>'Bill 8 FLOOR FINISHES'!F15</f>
        <v>0</v>
      </c>
      <c r="K15" s="194"/>
      <c r="L15" s="194">
        <f>'BILL 10 ELECTRICAL INSTALLATION'!F44</f>
        <v>0</v>
      </c>
      <c r="M15" s="195">
        <f>'BILL 11 MECHANICAL SYSTEMS'!F12</f>
        <v>0</v>
      </c>
    </row>
    <row r="16" spans="1:15" x14ac:dyDescent="0.25">
      <c r="A16" s="139"/>
      <c r="B16" s="94" t="s">
        <v>63</v>
      </c>
      <c r="C16" s="194"/>
      <c r="D16" s="194"/>
      <c r="E16" s="194">
        <f>'BILL 3 CONCRETE WORKS'!F265</f>
        <v>0</v>
      </c>
      <c r="F16" s="194">
        <f>'BILL4 METAL AND CARPENTRY WORKS'!F17</f>
        <v>0</v>
      </c>
      <c r="G16" s="194"/>
      <c r="H16" s="194"/>
      <c r="I16" s="194"/>
      <c r="J16" s="194"/>
      <c r="K16" s="194">
        <f>'BILL 09 HYDRAULICS AND DRAINAGE'!F30</f>
        <v>0</v>
      </c>
      <c r="L16" s="194">
        <f>'BILL 10 ELECTRICAL INSTALLATION'!F64</f>
        <v>0</v>
      </c>
      <c r="M16" s="195"/>
    </row>
    <row r="17" spans="1:13" x14ac:dyDescent="0.25">
      <c r="A17" s="143"/>
      <c r="B17" s="190" t="s">
        <v>264</v>
      </c>
      <c r="C17" s="191"/>
      <c r="D17" s="191"/>
      <c r="E17" s="191">
        <f>'BILL 3 CONCRETE WORKS'!F320</f>
        <v>0</v>
      </c>
      <c r="F17" s="191">
        <f>'BILL4 METAL AND CARPENTRY WORKS'!F21</f>
        <v>0</v>
      </c>
      <c r="G17" s="191"/>
      <c r="H17" s="191"/>
      <c r="I17" s="191"/>
      <c r="J17" s="191"/>
      <c r="K17" s="191"/>
      <c r="L17" s="191"/>
      <c r="M17" s="159"/>
    </row>
    <row r="18" spans="1:13" ht="15.75" x14ac:dyDescent="0.25">
      <c r="A18" s="143"/>
      <c r="B18" s="188" t="s">
        <v>112</v>
      </c>
      <c r="C18" s="189">
        <f t="shared" ref="C18:M18" si="0">SUM(C12:C16)</f>
        <v>0</v>
      </c>
      <c r="D18" s="189">
        <f t="shared" si="0"/>
        <v>0</v>
      </c>
      <c r="E18" s="189">
        <f t="shared" si="0"/>
        <v>0</v>
      </c>
      <c r="F18" s="189">
        <f t="shared" si="0"/>
        <v>0</v>
      </c>
      <c r="G18" s="189">
        <f t="shared" si="0"/>
        <v>0</v>
      </c>
      <c r="H18" s="189">
        <f t="shared" si="0"/>
        <v>0</v>
      </c>
      <c r="I18" s="189">
        <f t="shared" si="0"/>
        <v>0</v>
      </c>
      <c r="J18" s="189">
        <f t="shared" si="0"/>
        <v>0</v>
      </c>
      <c r="K18" s="189">
        <f t="shared" si="0"/>
        <v>0</v>
      </c>
      <c r="L18" s="189">
        <f t="shared" si="0"/>
        <v>0</v>
      </c>
      <c r="M18" s="196">
        <f t="shared" si="0"/>
        <v>0</v>
      </c>
    </row>
    <row r="20" spans="1:13" x14ac:dyDescent="0.25">
      <c r="D20" s="3"/>
    </row>
    <row r="24" spans="1:13" x14ac:dyDescent="0.25">
      <c r="D24" s="3"/>
    </row>
  </sheetData>
  <mergeCells count="4">
    <mergeCell ref="A1:L1"/>
    <mergeCell ref="A2:L2"/>
    <mergeCell ref="A3:L3"/>
    <mergeCell ref="A4:L4"/>
  </mergeCells>
  <printOptions horizontalCentered="1"/>
  <pageMargins left="0.1" right="0.1" top="0.75" bottom="0.75" header="0.3" footer="0.3"/>
  <pageSetup paperSize="9" scale="56" fitToHeight="0" orientation="landscape" horizontalDpi="4294967295" verticalDpi="4294967295" r:id="rId1"/>
  <headerFooter>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9"/>
  <sheetViews>
    <sheetView view="pageBreakPreview" zoomScale="80" zoomScaleNormal="85" zoomScaleSheetLayoutView="80" workbookViewId="0">
      <selection activeCell="J20" sqref="J20"/>
    </sheetView>
  </sheetViews>
  <sheetFormatPr defaultRowHeight="15" x14ac:dyDescent="0.25"/>
  <cols>
    <col min="1" max="1" width="5.28515625" customWidth="1"/>
    <col min="2" max="2" width="52" customWidth="1"/>
    <col min="3" max="4" width="5.85546875" customWidth="1"/>
    <col min="5" max="5" width="16.140625" customWidth="1"/>
    <col min="6" max="6" width="17.5703125" customWidth="1"/>
    <col min="10" max="10" width="11.5703125" bestFit="1" customWidth="1"/>
  </cols>
  <sheetData>
    <row r="1" spans="1:6" x14ac:dyDescent="0.25">
      <c r="A1" s="85" t="s">
        <v>11</v>
      </c>
      <c r="B1" s="6" t="s">
        <v>12</v>
      </c>
      <c r="C1" s="7" t="s">
        <v>13</v>
      </c>
      <c r="D1" s="8" t="s">
        <v>14</v>
      </c>
      <c r="E1" s="6" t="s">
        <v>121</v>
      </c>
      <c r="F1" s="9" t="s">
        <v>15</v>
      </c>
    </row>
    <row r="2" spans="1:6" ht="15.75" thickBot="1" x14ac:dyDescent="0.3">
      <c r="A2" s="10">
        <v>1</v>
      </c>
      <c r="B2" s="251" t="s">
        <v>5</v>
      </c>
      <c r="C2" s="252"/>
      <c r="D2" s="252"/>
      <c r="E2" s="252"/>
      <c r="F2" s="11">
        <f>+SUM(F20:F27)</f>
        <v>0</v>
      </c>
    </row>
    <row r="3" spans="1:6" ht="15.75" thickTop="1" x14ac:dyDescent="0.25">
      <c r="A3" s="83"/>
      <c r="B3" s="84"/>
      <c r="C3" s="82"/>
      <c r="D3" s="81"/>
      <c r="E3" s="80"/>
      <c r="F3" s="79"/>
    </row>
    <row r="4" spans="1:6" x14ac:dyDescent="0.25">
      <c r="A4" s="83">
        <v>1</v>
      </c>
      <c r="B4" s="84" t="s">
        <v>175</v>
      </c>
      <c r="C4" s="82"/>
      <c r="D4" s="81"/>
      <c r="E4" s="80"/>
      <c r="F4" s="79"/>
    </row>
    <row r="5" spans="1:6" x14ac:dyDescent="0.25">
      <c r="A5" s="83"/>
      <c r="B5" s="78" t="s">
        <v>79</v>
      </c>
      <c r="C5" s="82"/>
      <c r="D5" s="81"/>
      <c r="E5" s="80"/>
      <c r="F5" s="79"/>
    </row>
    <row r="6" spans="1:6" x14ac:dyDescent="0.25">
      <c r="A6" s="83"/>
      <c r="B6" s="78" t="s">
        <v>78</v>
      </c>
      <c r="C6" s="82"/>
      <c r="D6" s="81"/>
      <c r="E6" s="80"/>
      <c r="F6" s="79"/>
    </row>
    <row r="7" spans="1:6" x14ac:dyDescent="0.25">
      <c r="A7" s="83"/>
      <c r="B7" s="78" t="s">
        <v>77</v>
      </c>
      <c r="C7" s="82"/>
      <c r="D7" s="81"/>
      <c r="E7" s="80"/>
      <c r="F7" s="79"/>
    </row>
    <row r="8" spans="1:6" x14ac:dyDescent="0.25">
      <c r="A8" s="83"/>
      <c r="B8" s="78" t="s">
        <v>76</v>
      </c>
      <c r="C8" s="82"/>
      <c r="D8" s="81"/>
      <c r="E8" s="80"/>
      <c r="F8" s="79"/>
    </row>
    <row r="9" spans="1:6" x14ac:dyDescent="0.25">
      <c r="A9" s="83"/>
      <c r="B9" s="78" t="s">
        <v>75</v>
      </c>
      <c r="C9" s="82"/>
      <c r="D9" s="81"/>
      <c r="E9" s="80"/>
      <c r="F9" s="79"/>
    </row>
    <row r="10" spans="1:6" x14ac:dyDescent="0.25">
      <c r="A10" s="83"/>
      <c r="B10" s="78" t="s">
        <v>74</v>
      </c>
      <c r="C10" s="82"/>
      <c r="D10" s="81"/>
      <c r="E10" s="80"/>
      <c r="F10" s="79"/>
    </row>
    <row r="11" spans="1:6" x14ac:dyDescent="0.25">
      <c r="A11" s="83"/>
      <c r="B11" s="78" t="s">
        <v>73</v>
      </c>
      <c r="C11" s="82"/>
      <c r="D11" s="81"/>
      <c r="E11" s="80"/>
      <c r="F11" s="79"/>
    </row>
    <row r="12" spans="1:6" x14ac:dyDescent="0.25">
      <c r="A12" s="83"/>
      <c r="B12" s="78" t="s">
        <v>72</v>
      </c>
      <c r="C12" s="82"/>
      <c r="D12" s="81"/>
      <c r="E12" s="80"/>
      <c r="F12" s="79"/>
    </row>
    <row r="13" spans="1:6" x14ac:dyDescent="0.25">
      <c r="A13" s="83"/>
      <c r="B13" s="78" t="s">
        <v>71</v>
      </c>
      <c r="C13" s="82"/>
      <c r="D13" s="81"/>
      <c r="E13" s="80"/>
      <c r="F13" s="79"/>
    </row>
    <row r="14" spans="1:6" x14ac:dyDescent="0.25">
      <c r="A14" s="83"/>
      <c r="B14" s="78" t="s">
        <v>70</v>
      </c>
      <c r="C14" s="82"/>
      <c r="D14" s="81"/>
      <c r="E14" s="80"/>
      <c r="F14" s="79"/>
    </row>
    <row r="15" spans="1:6" x14ac:dyDescent="0.25">
      <c r="A15" s="137"/>
      <c r="B15" s="78" t="s">
        <v>69</v>
      </c>
      <c r="C15" s="78"/>
      <c r="D15" s="78"/>
      <c r="E15" s="78"/>
      <c r="F15" s="138"/>
    </row>
    <row r="16" spans="1:6" x14ac:dyDescent="0.25">
      <c r="A16" s="137"/>
      <c r="B16" s="78" t="s">
        <v>68</v>
      </c>
      <c r="C16" s="78"/>
      <c r="D16" s="78"/>
      <c r="E16" s="78"/>
      <c r="F16" s="138"/>
    </row>
    <row r="17" spans="1:10" x14ac:dyDescent="0.25">
      <c r="A17" s="137"/>
      <c r="B17" s="78"/>
      <c r="C17" s="78"/>
      <c r="D17" s="78"/>
      <c r="E17" s="78"/>
      <c r="F17" s="138"/>
    </row>
    <row r="18" spans="1:10" x14ac:dyDescent="0.25">
      <c r="A18" s="137"/>
      <c r="B18" s="78"/>
      <c r="C18" s="78"/>
      <c r="D18" s="78"/>
      <c r="E18" s="78"/>
      <c r="F18" s="138"/>
    </row>
    <row r="19" spans="1:10" x14ac:dyDescent="0.25">
      <c r="A19" s="75">
        <v>1.1000000000000001</v>
      </c>
      <c r="B19" s="77" t="s">
        <v>6</v>
      </c>
      <c r="C19" s="76"/>
      <c r="D19" s="74"/>
      <c r="E19" s="73"/>
      <c r="F19" s="72"/>
    </row>
    <row r="20" spans="1:10" ht="58.5" customHeight="1" x14ac:dyDescent="0.25">
      <c r="A20" s="71">
        <v>1</v>
      </c>
      <c r="B20" s="67" t="s">
        <v>67</v>
      </c>
      <c r="C20" s="45">
        <v>1</v>
      </c>
      <c r="D20" s="66" t="s">
        <v>24</v>
      </c>
      <c r="E20" s="65"/>
      <c r="F20" s="34">
        <f t="shared" ref="F20:F28" si="0">IF(E20="",IF(C20="","",C20*E20),C20*E20)</f>
        <v>0</v>
      </c>
    </row>
    <row r="21" spans="1:10" ht="30.6" customHeight="1" x14ac:dyDescent="0.25">
      <c r="A21" s="71"/>
      <c r="B21" s="2" t="s">
        <v>174</v>
      </c>
      <c r="C21" s="45">
        <v>1</v>
      </c>
      <c r="D21" s="66" t="s">
        <v>24</v>
      </c>
      <c r="E21" s="65"/>
      <c r="F21" s="34">
        <f t="shared" si="0"/>
        <v>0</v>
      </c>
    </row>
    <row r="22" spans="1:10" x14ac:dyDescent="0.25">
      <c r="A22" s="68"/>
      <c r="B22" s="67"/>
      <c r="C22" s="76"/>
      <c r="D22" s="66"/>
      <c r="E22" s="65"/>
      <c r="F22" s="34" t="str">
        <f t="shared" si="0"/>
        <v/>
      </c>
      <c r="J22" s="3"/>
    </row>
    <row r="23" spans="1:10" x14ac:dyDescent="0.25">
      <c r="A23" s="75">
        <v>1.2</v>
      </c>
      <c r="B23" s="14" t="s">
        <v>7</v>
      </c>
      <c r="C23" s="76"/>
      <c r="D23" s="74"/>
      <c r="E23" s="73"/>
      <c r="F23" s="34" t="str">
        <f t="shared" si="0"/>
        <v/>
      </c>
    </row>
    <row r="24" spans="1:10" x14ac:dyDescent="0.25">
      <c r="A24" s="71">
        <v>1</v>
      </c>
      <c r="B24" s="70" t="s">
        <v>66</v>
      </c>
      <c r="C24" s="45">
        <v>1</v>
      </c>
      <c r="D24" s="69" t="s">
        <v>4</v>
      </c>
      <c r="E24" s="65"/>
      <c r="F24" s="34">
        <f t="shared" si="0"/>
        <v>0</v>
      </c>
    </row>
    <row r="25" spans="1:10" x14ac:dyDescent="0.25">
      <c r="A25" s="68"/>
      <c r="B25" s="67"/>
      <c r="C25" s="45"/>
      <c r="D25" s="66"/>
      <c r="E25" s="65"/>
      <c r="F25" s="34" t="str">
        <f t="shared" si="0"/>
        <v/>
      </c>
    </row>
    <row r="26" spans="1:10" x14ac:dyDescent="0.25">
      <c r="A26" s="75">
        <v>1.3</v>
      </c>
      <c r="B26" s="14" t="s">
        <v>8</v>
      </c>
      <c r="C26" s="45"/>
      <c r="D26" s="74"/>
      <c r="E26" s="73"/>
      <c r="F26" s="34" t="str">
        <f t="shared" si="0"/>
        <v/>
      </c>
    </row>
    <row r="27" spans="1:10" ht="30" customHeight="1" x14ac:dyDescent="0.25">
      <c r="A27" s="71">
        <v>1</v>
      </c>
      <c r="B27" s="70" t="s">
        <v>65</v>
      </c>
      <c r="C27" s="45">
        <v>1</v>
      </c>
      <c r="D27" s="69" t="s">
        <v>24</v>
      </c>
      <c r="E27" s="65"/>
      <c r="F27" s="34">
        <f t="shared" si="0"/>
        <v>0</v>
      </c>
    </row>
    <row r="28" spans="1:10" x14ac:dyDescent="0.25">
      <c r="A28" s="71"/>
      <c r="B28" s="70"/>
      <c r="C28" s="45"/>
      <c r="D28" s="69"/>
      <c r="E28" s="65"/>
      <c r="F28" s="34" t="str">
        <f t="shared" si="0"/>
        <v/>
      </c>
      <c r="G28" s="12"/>
      <c r="H28" s="1"/>
    </row>
    <row r="29" spans="1:10" x14ac:dyDescent="0.25">
      <c r="A29" s="140"/>
      <c r="B29" s="141"/>
      <c r="C29" s="141"/>
      <c r="D29" s="141"/>
      <c r="E29" s="141"/>
      <c r="F29" s="142" t="s">
        <v>177</v>
      </c>
    </row>
  </sheetData>
  <mergeCells count="1">
    <mergeCell ref="B2:E2"/>
  </mergeCells>
  <pageMargins left="0.7" right="0.7" top="0.75" bottom="0.75" header="0.3" footer="0.3"/>
  <pageSetup paperSize="9" scale="85" fitToHeight="0"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2"/>
  <sheetViews>
    <sheetView view="pageBreakPreview" zoomScale="80" zoomScaleNormal="70" zoomScaleSheetLayoutView="80" workbookViewId="0">
      <selection activeCell="E33" sqref="E33"/>
    </sheetView>
  </sheetViews>
  <sheetFormatPr defaultRowHeight="15" x14ac:dyDescent="0.25"/>
  <cols>
    <col min="1" max="1" width="5" customWidth="1"/>
    <col min="2" max="2" width="47.5703125" customWidth="1"/>
    <col min="3" max="3" width="9.7109375" bestFit="1" customWidth="1"/>
    <col min="4" max="4" width="5.28515625" customWidth="1"/>
    <col min="5" max="5" width="16" customWidth="1"/>
    <col min="6" max="6" width="19" style="1" bestFit="1" customWidth="1"/>
  </cols>
  <sheetData>
    <row r="1" spans="1:11" x14ac:dyDescent="0.25">
      <c r="A1" s="5" t="s">
        <v>11</v>
      </c>
      <c r="B1" s="231" t="s">
        <v>12</v>
      </c>
      <c r="C1" s="232" t="s">
        <v>13</v>
      </c>
      <c r="D1" s="233" t="s">
        <v>14</v>
      </c>
      <c r="E1" s="231" t="s">
        <v>121</v>
      </c>
      <c r="F1" s="9" t="s">
        <v>15</v>
      </c>
    </row>
    <row r="2" spans="1:11" ht="15.75" thickBot="1" x14ac:dyDescent="0.3">
      <c r="A2" s="10">
        <v>2</v>
      </c>
      <c r="B2" s="253" t="s">
        <v>150</v>
      </c>
      <c r="C2" s="254"/>
      <c r="D2" s="254"/>
      <c r="E2" s="254"/>
      <c r="F2" s="11"/>
    </row>
    <row r="3" spans="1:11" ht="15.75" thickTop="1" x14ac:dyDescent="0.25">
      <c r="A3" s="125">
        <v>2.1</v>
      </c>
      <c r="B3" s="234" t="s">
        <v>17</v>
      </c>
      <c r="C3" s="31"/>
      <c r="D3" s="27"/>
      <c r="E3" s="17"/>
      <c r="F3" s="18"/>
    </row>
    <row r="4" spans="1:11" ht="62.25" customHeight="1" x14ac:dyDescent="0.25">
      <c r="A4" s="126"/>
      <c r="B4" s="235" t="s">
        <v>151</v>
      </c>
      <c r="C4" s="31"/>
      <c r="D4" s="27"/>
      <c r="E4" s="28"/>
      <c r="F4" s="29"/>
    </row>
    <row r="5" spans="1:11" ht="15.75" thickBot="1" x14ac:dyDescent="0.3">
      <c r="A5" s="198"/>
      <c r="B5" s="255" t="s">
        <v>84</v>
      </c>
      <c r="C5" s="256"/>
      <c r="D5" s="256"/>
      <c r="E5" s="257"/>
      <c r="F5" s="144">
        <f>SUM(F8:F20)</f>
        <v>0</v>
      </c>
    </row>
    <row r="6" spans="1:11" ht="15.75" thickTop="1" x14ac:dyDescent="0.25">
      <c r="A6" s="197"/>
      <c r="B6" s="14"/>
      <c r="C6" s="31"/>
      <c r="D6" s="27"/>
      <c r="E6" s="17"/>
      <c r="F6" s="34" t="str">
        <f t="shared" ref="F6:F21" si="0">IF(E6="",IF(C6="","",C6*E6),C6*E6)</f>
        <v/>
      </c>
      <c r="J6">
        <f>8.178*7</f>
        <v>57.246000000000009</v>
      </c>
    </row>
    <row r="7" spans="1:11" x14ac:dyDescent="0.25">
      <c r="A7" s="127">
        <v>2.2000000000000002</v>
      </c>
      <c r="B7" s="14" t="s">
        <v>217</v>
      </c>
      <c r="C7" s="31"/>
      <c r="D7" s="27"/>
      <c r="E7" s="28"/>
      <c r="F7" s="34" t="str">
        <f t="shared" si="0"/>
        <v/>
      </c>
      <c r="J7">
        <f>5.443*8</f>
        <v>43.543999999999997</v>
      </c>
    </row>
    <row r="8" spans="1:11" ht="15.75" x14ac:dyDescent="0.25">
      <c r="A8" s="127"/>
      <c r="B8" s="87" t="s">
        <v>234</v>
      </c>
      <c r="C8" s="100">
        <f>2.954*4.179*8*1.3</f>
        <v>128.38556640000002</v>
      </c>
      <c r="D8" s="27" t="s">
        <v>83</v>
      </c>
      <c r="E8" s="28"/>
      <c r="F8" s="34">
        <f t="shared" si="0"/>
        <v>0</v>
      </c>
      <c r="J8">
        <f>J7+J6</f>
        <v>100.79</v>
      </c>
    </row>
    <row r="9" spans="1:11" ht="27.75" customHeight="1" x14ac:dyDescent="0.25">
      <c r="A9" s="127"/>
      <c r="B9" s="87" t="s">
        <v>218</v>
      </c>
      <c r="C9" s="100">
        <f>(8.18*7*0.3*0.725)+(5.443*8*0.3*0.725)</f>
        <v>21.924869999999995</v>
      </c>
      <c r="D9" s="27" t="s">
        <v>83</v>
      </c>
      <c r="E9" s="28"/>
      <c r="F9" s="34">
        <f t="shared" si="0"/>
        <v>0</v>
      </c>
    </row>
    <row r="10" spans="1:11" ht="15.75" x14ac:dyDescent="0.25">
      <c r="A10" s="127"/>
      <c r="B10" s="2" t="s">
        <v>82</v>
      </c>
      <c r="C10" s="100">
        <f>(8.18*7*0.3*0.5)+(5.443*8*0.3*0.5)+(2.954*4.179*8*0.575)</f>
        <v>71.9065236</v>
      </c>
      <c r="D10" s="27" t="s">
        <v>83</v>
      </c>
      <c r="E10" s="28"/>
      <c r="F10" s="34">
        <f t="shared" si="0"/>
        <v>0</v>
      </c>
      <c r="I10" s="121"/>
      <c r="J10" s="121"/>
      <c r="K10" s="121"/>
    </row>
    <row r="11" spans="1:11" x14ac:dyDescent="0.25">
      <c r="A11" s="127"/>
      <c r="B11" s="2"/>
      <c r="C11" s="100"/>
      <c r="D11" s="27"/>
      <c r="E11" s="28"/>
      <c r="F11" s="34" t="str">
        <f t="shared" si="0"/>
        <v/>
      </c>
      <c r="I11" s="121"/>
      <c r="J11" s="121"/>
      <c r="K11" s="121"/>
    </row>
    <row r="12" spans="1:11" x14ac:dyDescent="0.25">
      <c r="A12" s="127">
        <v>2.2999999999999998</v>
      </c>
      <c r="B12" s="14" t="s">
        <v>313</v>
      </c>
      <c r="C12" s="31"/>
      <c r="D12" s="27"/>
      <c r="E12" s="28"/>
      <c r="F12" s="34" t="str">
        <f t="shared" ref="F12" si="1">IF(E12="",IF(C12="","",C12*E12),C12*E12)</f>
        <v/>
      </c>
    </row>
    <row r="13" spans="1:11" ht="25.5" x14ac:dyDescent="0.25">
      <c r="A13" s="127"/>
      <c r="B13" s="36" t="s">
        <v>314</v>
      </c>
      <c r="C13" s="31">
        <v>1</v>
      </c>
      <c r="D13" s="27" t="s">
        <v>24</v>
      </c>
      <c r="E13" s="28"/>
      <c r="F13" s="34">
        <f t="shared" si="0"/>
        <v>0</v>
      </c>
      <c r="H13" s="120"/>
    </row>
    <row r="14" spans="1:11" x14ac:dyDescent="0.25">
      <c r="A14" s="127"/>
      <c r="B14" s="14"/>
      <c r="C14" s="27"/>
      <c r="D14" s="27"/>
      <c r="E14" s="28"/>
      <c r="F14" s="34"/>
    </row>
    <row r="15" spans="1:11" x14ac:dyDescent="0.25">
      <c r="A15" s="127">
        <v>2.4</v>
      </c>
      <c r="B15" s="14" t="s">
        <v>9</v>
      </c>
      <c r="C15" s="31"/>
      <c r="D15" s="27"/>
      <c r="E15" s="28"/>
      <c r="F15" s="34" t="str">
        <f t="shared" si="0"/>
        <v/>
      </c>
    </row>
    <row r="16" spans="1:11" ht="25.5" x14ac:dyDescent="0.25">
      <c r="A16" s="127"/>
      <c r="B16" s="36" t="s">
        <v>65</v>
      </c>
      <c r="C16" s="31">
        <v>1</v>
      </c>
      <c r="D16" s="27" t="s">
        <v>24</v>
      </c>
      <c r="E16" s="28"/>
      <c r="F16" s="34">
        <f t="shared" si="0"/>
        <v>0</v>
      </c>
      <c r="H16" s="120"/>
    </row>
    <row r="17" spans="1:6" x14ac:dyDescent="0.25">
      <c r="A17" s="127"/>
      <c r="B17" s="36"/>
      <c r="C17" s="33"/>
      <c r="D17" s="27"/>
      <c r="E17" s="28"/>
      <c r="F17" s="34" t="str">
        <f t="shared" si="0"/>
        <v/>
      </c>
    </row>
    <row r="18" spans="1:6" x14ac:dyDescent="0.25">
      <c r="A18" s="127"/>
      <c r="B18" s="36"/>
      <c r="C18" s="33"/>
      <c r="D18" s="27"/>
      <c r="E18" s="28"/>
      <c r="F18" s="34" t="str">
        <f t="shared" si="0"/>
        <v/>
      </c>
    </row>
    <row r="19" spans="1:6" x14ac:dyDescent="0.25">
      <c r="A19" s="127">
        <v>2.5</v>
      </c>
      <c r="B19" s="14" t="s">
        <v>81</v>
      </c>
      <c r="C19" s="33"/>
      <c r="D19" s="27"/>
      <c r="E19" s="28"/>
      <c r="F19" s="34" t="str">
        <f t="shared" si="0"/>
        <v/>
      </c>
    </row>
    <row r="20" spans="1:6" ht="17.25" customHeight="1" x14ac:dyDescent="0.25">
      <c r="A20" s="60"/>
      <c r="B20" s="36" t="s">
        <v>80</v>
      </c>
      <c r="C20" s="100">
        <f>(C9+C8)-C10</f>
        <v>78.403912800000015</v>
      </c>
      <c r="D20" s="27" t="s">
        <v>153</v>
      </c>
      <c r="E20" s="28"/>
      <c r="F20" s="34">
        <f t="shared" si="0"/>
        <v>0</v>
      </c>
    </row>
    <row r="21" spans="1:6" x14ac:dyDescent="0.25">
      <c r="A21" s="60"/>
      <c r="B21" s="36"/>
      <c r="C21" s="33"/>
      <c r="D21" s="27"/>
      <c r="E21" s="28"/>
      <c r="F21" s="34" t="str">
        <f t="shared" si="0"/>
        <v/>
      </c>
    </row>
    <row r="22" spans="1:6" x14ac:dyDescent="0.25">
      <c r="A22" s="145"/>
      <c r="B22" s="146"/>
      <c r="C22" s="146"/>
      <c r="D22" s="146"/>
      <c r="E22" s="146"/>
      <c r="F22" s="147" t="s">
        <v>178</v>
      </c>
    </row>
  </sheetData>
  <mergeCells count="2">
    <mergeCell ref="B2:E2"/>
    <mergeCell ref="B5:E5"/>
  </mergeCells>
  <pageMargins left="0.7" right="0.7" top="0.75" bottom="0.75" header="0.3" footer="0.3"/>
  <pageSetup paperSize="9" scale="85" fitToHeight="0"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351"/>
  <sheetViews>
    <sheetView view="pageBreakPreview" topLeftCell="A313" zoomScale="85" zoomScaleNormal="70" zoomScaleSheetLayoutView="85" workbookViewId="0">
      <selection activeCell="F15" sqref="F15"/>
    </sheetView>
  </sheetViews>
  <sheetFormatPr defaultRowHeight="15" x14ac:dyDescent="0.25"/>
  <cols>
    <col min="1" max="1" width="5" customWidth="1"/>
    <col min="2" max="2" width="47.5703125" customWidth="1"/>
    <col min="3" max="3" width="9.85546875" bestFit="1" customWidth="1"/>
    <col min="4" max="4" width="6.5703125" customWidth="1"/>
    <col min="5" max="5" width="15.140625" customWidth="1"/>
    <col min="6" max="6" width="19" style="1" bestFit="1" customWidth="1"/>
    <col min="9" max="9" width="10.7109375" bestFit="1" customWidth="1"/>
    <col min="10" max="10" width="11.140625" bestFit="1" customWidth="1"/>
  </cols>
  <sheetData>
    <row r="1" spans="1:18" x14ac:dyDescent="0.25">
      <c r="A1" s="5" t="s">
        <v>11</v>
      </c>
      <c r="B1" s="6" t="s">
        <v>12</v>
      </c>
      <c r="C1" s="7" t="s">
        <v>13</v>
      </c>
      <c r="D1" s="8" t="s">
        <v>14</v>
      </c>
      <c r="E1" s="6" t="s">
        <v>138</v>
      </c>
      <c r="F1" s="9" t="s">
        <v>15</v>
      </c>
    </row>
    <row r="2" spans="1:18" ht="15.75" thickBot="1" x14ac:dyDescent="0.3">
      <c r="A2" s="10">
        <v>3</v>
      </c>
      <c r="B2" s="260" t="s">
        <v>97</v>
      </c>
      <c r="C2" s="261"/>
      <c r="D2" s="261"/>
      <c r="E2" s="261"/>
      <c r="F2" s="11"/>
    </row>
    <row r="3" spans="1:18" ht="15.75" thickTop="1" x14ac:dyDescent="0.25">
      <c r="A3" s="13">
        <v>3.1</v>
      </c>
      <c r="B3" s="14" t="s">
        <v>17</v>
      </c>
      <c r="C3" s="31"/>
      <c r="D3" s="27"/>
      <c r="E3" s="17"/>
      <c r="F3" s="18"/>
    </row>
    <row r="4" spans="1:18" ht="69" customHeight="1" x14ac:dyDescent="0.25">
      <c r="A4" s="89" t="s">
        <v>29</v>
      </c>
      <c r="B4" s="2" t="s">
        <v>96</v>
      </c>
      <c r="C4" s="31"/>
      <c r="D4" s="27"/>
      <c r="E4" s="28"/>
      <c r="F4" s="29"/>
    </row>
    <row r="5" spans="1:18" ht="59.25" customHeight="1" x14ac:dyDescent="0.25">
      <c r="A5" s="89" t="s">
        <v>27</v>
      </c>
      <c r="B5" s="2" t="s">
        <v>95</v>
      </c>
      <c r="C5" s="31"/>
      <c r="D5" s="27"/>
      <c r="E5" s="28"/>
      <c r="F5" s="29"/>
    </row>
    <row r="6" spans="1:18" ht="70.5" customHeight="1" x14ac:dyDescent="0.25">
      <c r="A6" s="25" t="s">
        <v>40</v>
      </c>
      <c r="B6" s="2" t="s">
        <v>94</v>
      </c>
      <c r="C6" s="31"/>
      <c r="D6" s="27"/>
      <c r="E6" s="28"/>
      <c r="F6" s="29"/>
    </row>
    <row r="7" spans="1:18" ht="69.75" customHeight="1" x14ac:dyDescent="0.25">
      <c r="A7" s="25" t="s">
        <v>38</v>
      </c>
      <c r="B7" s="2" t="s">
        <v>93</v>
      </c>
      <c r="C7" s="31"/>
      <c r="D7" s="27"/>
      <c r="E7" s="28"/>
      <c r="F7" s="29"/>
    </row>
    <row r="8" spans="1:18" ht="29.25" customHeight="1" x14ac:dyDescent="0.25">
      <c r="A8" s="25" t="s">
        <v>26</v>
      </c>
      <c r="B8" s="2" t="s">
        <v>92</v>
      </c>
      <c r="C8" s="31"/>
      <c r="D8" s="27"/>
      <c r="E8" s="28"/>
      <c r="F8" s="29"/>
    </row>
    <row r="9" spans="1:18" ht="48" customHeight="1" x14ac:dyDescent="0.25">
      <c r="A9" s="25" t="s">
        <v>91</v>
      </c>
      <c r="B9" s="2" t="s">
        <v>90</v>
      </c>
      <c r="C9" s="31"/>
      <c r="D9" s="27"/>
      <c r="E9" s="28"/>
      <c r="F9" s="29"/>
      <c r="Q9">
        <f>75/1000</f>
        <v>7.4999999999999997E-2</v>
      </c>
    </row>
    <row r="10" spans="1:18" ht="39" customHeight="1" x14ac:dyDescent="0.25">
      <c r="A10" s="25" t="s">
        <v>176</v>
      </c>
      <c r="B10" s="2" t="s">
        <v>88</v>
      </c>
      <c r="C10" s="31"/>
      <c r="D10" s="27"/>
      <c r="E10" s="28"/>
      <c r="F10" s="29"/>
    </row>
    <row r="11" spans="1:18" ht="69" customHeight="1" x14ac:dyDescent="0.25">
      <c r="A11" s="25" t="s">
        <v>89</v>
      </c>
      <c r="B11" s="88" t="s">
        <v>87</v>
      </c>
      <c r="C11" s="31"/>
      <c r="D11" s="27"/>
      <c r="E11" s="28"/>
      <c r="F11" s="29"/>
    </row>
    <row r="12" spans="1:18" x14ac:dyDescent="0.25">
      <c r="A12" s="25" t="s">
        <v>86</v>
      </c>
      <c r="B12" s="2" t="s">
        <v>85</v>
      </c>
      <c r="C12" s="31">
        <v>1</v>
      </c>
      <c r="D12" s="27" t="s">
        <v>24</v>
      </c>
      <c r="E12" s="28"/>
      <c r="F12" s="34">
        <f>IF(E12="",IF(C12="","",C12*E12),C12*E12)</f>
        <v>0</v>
      </c>
    </row>
    <row r="13" spans="1:18" x14ac:dyDescent="0.25">
      <c r="A13" s="149"/>
      <c r="B13" s="150"/>
      <c r="C13" s="151"/>
      <c r="D13" s="152"/>
      <c r="E13" s="153"/>
      <c r="F13" s="154"/>
      <c r="R13">
        <f>2.954+2.954+4.179+4.179</f>
        <v>14.266</v>
      </c>
    </row>
    <row r="14" spans="1:18" ht="15.75" thickBot="1" x14ac:dyDescent="0.3">
      <c r="A14" s="199">
        <v>3.2</v>
      </c>
      <c r="B14" s="258" t="s">
        <v>84</v>
      </c>
      <c r="C14" s="259"/>
      <c r="D14" s="259"/>
      <c r="E14" s="259"/>
      <c r="F14" s="155">
        <f>SUM(F17:F60)</f>
        <v>0</v>
      </c>
      <c r="R14">
        <f>R13*0.575*8</f>
        <v>65.623599999999996</v>
      </c>
    </row>
    <row r="15" spans="1:18" ht="15.75" thickTop="1" x14ac:dyDescent="0.25">
      <c r="A15" s="30"/>
      <c r="B15" s="14"/>
      <c r="C15" s="31"/>
      <c r="D15" s="27"/>
      <c r="E15" s="17"/>
      <c r="F15" s="79"/>
    </row>
    <row r="16" spans="1:18" x14ac:dyDescent="0.25">
      <c r="A16" s="86"/>
      <c r="B16" s="14" t="s">
        <v>101</v>
      </c>
      <c r="C16" s="27"/>
      <c r="D16" s="27"/>
      <c r="E16" s="28"/>
      <c r="F16" s="34" t="str">
        <f t="shared" ref="F16:F58" si="0">IF(E16="",IF(C16="","",C16*E16),C16*E16)</f>
        <v/>
      </c>
      <c r="I16" s="3"/>
    </row>
    <row r="17" spans="1:20" ht="15" customHeight="1" x14ac:dyDescent="0.25">
      <c r="A17" s="60"/>
      <c r="B17" s="2" t="s">
        <v>232</v>
      </c>
      <c r="C17" s="31">
        <f>(8.18*7*0.3*0.5*0.05)+(5.443*8*0.3*0.5*0.05)+(2.954*4.179*8*0.05)</f>
        <v>5.693936400000001</v>
      </c>
      <c r="D17" s="27" t="s">
        <v>83</v>
      </c>
      <c r="E17" s="28"/>
      <c r="F17" s="34">
        <f t="shared" si="0"/>
        <v>0</v>
      </c>
      <c r="J17" s="3"/>
    </row>
    <row r="18" spans="1:20" x14ac:dyDescent="0.25">
      <c r="A18" s="60"/>
      <c r="B18" s="90"/>
      <c r="C18" s="31"/>
      <c r="D18" s="27"/>
      <c r="E18" s="28"/>
      <c r="F18" s="34" t="str">
        <f t="shared" si="0"/>
        <v/>
      </c>
    </row>
    <row r="19" spans="1:20" x14ac:dyDescent="0.25">
      <c r="A19" s="86"/>
      <c r="B19" s="14" t="s">
        <v>213</v>
      </c>
      <c r="C19" s="27"/>
      <c r="D19" s="27"/>
      <c r="E19" s="28"/>
      <c r="F19" s="34" t="str">
        <f t="shared" si="0"/>
        <v/>
      </c>
      <c r="K19">
        <v>2.9540000000000002</v>
      </c>
      <c r="L19">
        <f>2.957/0.075</f>
        <v>39.426666666666669</v>
      </c>
      <c r="M19">
        <f>L19*K20</f>
        <v>164.76404000000002</v>
      </c>
      <c r="N19">
        <f>M19+M20</f>
        <v>329.36092000000008</v>
      </c>
      <c r="O19">
        <f>(N19*(16*16))/162</f>
        <v>520.47157728395075</v>
      </c>
      <c r="P19">
        <f>O19*8</f>
        <v>4163.772618271606</v>
      </c>
    </row>
    <row r="20" spans="1:20" ht="15.75" x14ac:dyDescent="0.25">
      <c r="A20" s="60"/>
      <c r="B20" s="2" t="s">
        <v>122</v>
      </c>
      <c r="C20" s="31">
        <f>2.954*4.179*8*0.575+(2.954*4.179*8)</f>
        <v>155.54405160000002</v>
      </c>
      <c r="D20" s="27" t="s">
        <v>83</v>
      </c>
      <c r="E20" s="28"/>
      <c r="F20" s="34">
        <f t="shared" si="0"/>
        <v>0</v>
      </c>
      <c r="K20">
        <v>4.1790000000000003</v>
      </c>
      <c r="L20">
        <f>4.179/0.075</f>
        <v>55.720000000000006</v>
      </c>
      <c r="M20">
        <f>L20*K19</f>
        <v>164.59688000000003</v>
      </c>
    </row>
    <row r="21" spans="1:20" x14ac:dyDescent="0.25">
      <c r="A21" s="86"/>
      <c r="B21" s="36" t="s">
        <v>0</v>
      </c>
      <c r="C21" s="31"/>
      <c r="D21" s="27"/>
      <c r="E21" s="28"/>
      <c r="F21" s="34" t="str">
        <f t="shared" si="0"/>
        <v/>
      </c>
      <c r="K21">
        <f>550/200</f>
        <v>2.75</v>
      </c>
      <c r="L21">
        <f>K21*0.55</f>
        <v>1.5125000000000002</v>
      </c>
      <c r="N21">
        <f>L21+L22</f>
        <v>3.0250000000000004</v>
      </c>
      <c r="O21">
        <f>N21*12</f>
        <v>36.300000000000004</v>
      </c>
      <c r="P21">
        <f>(O21*100)/162</f>
        <v>22.407407407407412</v>
      </c>
    </row>
    <row r="22" spans="1:20" x14ac:dyDescent="0.25">
      <c r="A22" s="60"/>
      <c r="B22" s="90" t="s">
        <v>235</v>
      </c>
      <c r="C22" s="31">
        <v>4163.7730000000001</v>
      </c>
      <c r="D22" s="27" t="s">
        <v>157</v>
      </c>
      <c r="E22" s="28"/>
      <c r="F22" s="34">
        <f t="shared" si="0"/>
        <v>0</v>
      </c>
      <c r="K22">
        <f>550/200</f>
        <v>2.75</v>
      </c>
      <c r="L22">
        <f>K22*0.55</f>
        <v>1.5125000000000002</v>
      </c>
    </row>
    <row r="23" spans="1:20" ht="15.75" x14ac:dyDescent="0.25">
      <c r="A23" s="86"/>
      <c r="B23" s="36" t="s">
        <v>100</v>
      </c>
      <c r="C23" s="31">
        <v>65.623599999999996</v>
      </c>
      <c r="D23" s="27" t="s">
        <v>23</v>
      </c>
      <c r="E23" s="28"/>
      <c r="F23" s="34">
        <f t="shared" si="0"/>
        <v>0</v>
      </c>
    </row>
    <row r="24" spans="1:20" x14ac:dyDescent="0.25">
      <c r="A24" s="60"/>
      <c r="B24" s="88" t="s">
        <v>1</v>
      </c>
      <c r="C24" s="27"/>
      <c r="D24" s="27"/>
      <c r="E24" s="28"/>
      <c r="F24" s="34" t="str">
        <f t="shared" si="0"/>
        <v/>
      </c>
    </row>
    <row r="25" spans="1:20" ht="43.5" customHeight="1" x14ac:dyDescent="0.25">
      <c r="A25" s="60"/>
      <c r="B25" s="2" t="s">
        <v>99</v>
      </c>
      <c r="C25" s="31">
        <v>65.62</v>
      </c>
      <c r="D25" s="27" t="s">
        <v>23</v>
      </c>
      <c r="E25" s="28"/>
      <c r="F25" s="34">
        <f t="shared" si="0"/>
        <v>0</v>
      </c>
      <c r="T25">
        <f>4*4*0.65</f>
        <v>10.4</v>
      </c>
    </row>
    <row r="26" spans="1:20" x14ac:dyDescent="0.25">
      <c r="A26" s="60"/>
      <c r="B26" s="90"/>
      <c r="C26" s="31"/>
      <c r="D26" s="27"/>
      <c r="E26" s="28"/>
      <c r="F26" s="34" t="str">
        <f t="shared" ref="F26:F33" si="1">IF(E26="",IF(C26="","",C26*E26),C26*E26)</f>
        <v/>
      </c>
      <c r="T26">
        <f>2.4*2.4*0.55</f>
        <v>3.1680000000000001</v>
      </c>
    </row>
    <row r="27" spans="1:20" x14ac:dyDescent="0.25">
      <c r="A27" s="86"/>
      <c r="B27" s="14" t="s">
        <v>267</v>
      </c>
      <c r="C27" s="27"/>
      <c r="D27" s="27"/>
      <c r="E27" s="28"/>
      <c r="F27" s="34" t="str">
        <f t="shared" si="1"/>
        <v/>
      </c>
      <c r="K27">
        <v>4</v>
      </c>
      <c r="L27">
        <f>4/0.075</f>
        <v>53.333333333333336</v>
      </c>
      <c r="M27">
        <f>L27*K28</f>
        <v>213.33333333333334</v>
      </c>
      <c r="N27">
        <f>M27+M28</f>
        <v>426.66666666666669</v>
      </c>
      <c r="O27">
        <f>(N27*(16*16))/162</f>
        <v>674.23868312757202</v>
      </c>
      <c r="T27">
        <f>SUM(T25:T26)</f>
        <v>13.568000000000001</v>
      </c>
    </row>
    <row r="28" spans="1:20" ht="15.75" x14ac:dyDescent="0.25">
      <c r="A28" s="60"/>
      <c r="B28" s="2" t="s">
        <v>122</v>
      </c>
      <c r="C28" s="31">
        <v>13.568</v>
      </c>
      <c r="D28" s="27" t="s">
        <v>83</v>
      </c>
      <c r="E28" s="28"/>
      <c r="F28" s="34">
        <f t="shared" si="1"/>
        <v>0</v>
      </c>
      <c r="K28">
        <v>4</v>
      </c>
      <c r="L28">
        <f>4/0.075</f>
        <v>53.333333333333336</v>
      </c>
      <c r="M28">
        <f>L28*K27</f>
        <v>213.33333333333334</v>
      </c>
    </row>
    <row r="29" spans="1:20" x14ac:dyDescent="0.25">
      <c r="A29" s="86"/>
      <c r="B29" s="36" t="s">
        <v>0</v>
      </c>
      <c r="C29" s="31"/>
      <c r="D29" s="27"/>
      <c r="E29" s="28"/>
      <c r="F29" s="34" t="str">
        <f t="shared" si="1"/>
        <v/>
      </c>
      <c r="K29">
        <f>550/200</f>
        <v>2.75</v>
      </c>
      <c r="L29">
        <f>K29*0.55</f>
        <v>1.5125000000000002</v>
      </c>
      <c r="N29">
        <f>L29+L30</f>
        <v>3.0250000000000004</v>
      </c>
      <c r="O29">
        <f>N29*12</f>
        <v>36.300000000000004</v>
      </c>
      <c r="P29">
        <f>(O29*100)/162</f>
        <v>22.407407407407412</v>
      </c>
    </row>
    <row r="30" spans="1:20" x14ac:dyDescent="0.25">
      <c r="A30" s="60"/>
      <c r="B30" s="90" t="s">
        <v>235</v>
      </c>
      <c r="C30" s="31">
        <v>674.23</v>
      </c>
      <c r="D30" s="27" t="s">
        <v>157</v>
      </c>
      <c r="E30" s="28"/>
      <c r="F30" s="34">
        <f t="shared" si="1"/>
        <v>0</v>
      </c>
      <c r="K30">
        <f>550/200</f>
        <v>2.75</v>
      </c>
      <c r="L30">
        <f>K30*0.55</f>
        <v>1.5125000000000002</v>
      </c>
    </row>
    <row r="31" spans="1:20" ht="15.75" x14ac:dyDescent="0.25">
      <c r="A31" s="86"/>
      <c r="B31" s="36" t="s">
        <v>100</v>
      </c>
      <c r="C31" s="31">
        <f>16*0.55</f>
        <v>8.8000000000000007</v>
      </c>
      <c r="D31" s="27" t="s">
        <v>23</v>
      </c>
      <c r="E31" s="28"/>
      <c r="F31" s="34">
        <f t="shared" si="1"/>
        <v>0</v>
      </c>
    </row>
    <row r="32" spans="1:20" x14ac:dyDescent="0.25">
      <c r="A32" s="60"/>
      <c r="B32" s="88" t="s">
        <v>1</v>
      </c>
      <c r="C32" s="27"/>
      <c r="D32" s="27"/>
      <c r="E32" s="28"/>
      <c r="F32" s="34" t="str">
        <f t="shared" si="1"/>
        <v/>
      </c>
    </row>
    <row r="33" spans="1:24" ht="43.5" customHeight="1" x14ac:dyDescent="0.25">
      <c r="A33" s="60"/>
      <c r="B33" s="2" t="s">
        <v>99</v>
      </c>
      <c r="C33" s="31">
        <v>8.8000000000000007</v>
      </c>
      <c r="D33" s="27" t="s">
        <v>23</v>
      </c>
      <c r="E33" s="28"/>
      <c r="F33" s="34">
        <f t="shared" si="1"/>
        <v>0</v>
      </c>
    </row>
    <row r="34" spans="1:24" x14ac:dyDescent="0.25">
      <c r="A34" s="60"/>
      <c r="B34" s="90"/>
      <c r="C34" s="31"/>
      <c r="D34" s="27"/>
      <c r="E34" s="28"/>
      <c r="F34" s="34" t="str">
        <f t="shared" ref="F34:F41" si="2">IF(E34="",IF(C34="","",C34*E34),C34*E34)</f>
        <v/>
      </c>
    </row>
    <row r="35" spans="1:24" x14ac:dyDescent="0.25">
      <c r="A35" s="86"/>
      <c r="B35" s="14" t="s">
        <v>262</v>
      </c>
      <c r="C35" s="27"/>
      <c r="D35" s="27"/>
      <c r="E35" s="28"/>
      <c r="F35" s="34" t="str">
        <f t="shared" si="2"/>
        <v/>
      </c>
      <c r="K35">
        <v>1.4</v>
      </c>
      <c r="L35">
        <f>1.4/0.075</f>
        <v>18.666666666666668</v>
      </c>
      <c r="M35">
        <f>L35*K36</f>
        <v>18.666666666666668</v>
      </c>
      <c r="N35">
        <f>M35+M36</f>
        <v>37.333333333333336</v>
      </c>
      <c r="O35">
        <f>(N35*(16*16))/162</f>
        <v>58.995884773662553</v>
      </c>
      <c r="S35">
        <v>1.4</v>
      </c>
      <c r="T35">
        <f>1.4/0.075</f>
        <v>18.666666666666668</v>
      </c>
      <c r="U35">
        <f>T35*S36</f>
        <v>11.200000000000001</v>
      </c>
      <c r="V35">
        <f>U35+U36</f>
        <v>22.4</v>
      </c>
      <c r="W35">
        <f>(V35*(16*16))/162</f>
        <v>35.397530864197527</v>
      </c>
    </row>
    <row r="36" spans="1:24" ht="15.75" x14ac:dyDescent="0.25">
      <c r="A36" s="60"/>
      <c r="B36" s="2" t="s">
        <v>122</v>
      </c>
      <c r="C36" s="31">
        <f>(1*1.4*0.3)+(0.6*0.3*0.14)+(1.3*0.15*1.4)</f>
        <v>0.71819999999999995</v>
      </c>
      <c r="D36" s="27" t="s">
        <v>83</v>
      </c>
      <c r="E36" s="28"/>
      <c r="F36" s="34">
        <f t="shared" si="2"/>
        <v>0</v>
      </c>
      <c r="K36">
        <v>1</v>
      </c>
      <c r="L36">
        <f>1/0.075</f>
        <v>13.333333333333334</v>
      </c>
      <c r="M36">
        <f>L36*K35</f>
        <v>18.666666666666668</v>
      </c>
      <c r="S36">
        <v>0.6</v>
      </c>
      <c r="T36">
        <f>0.6/0.075</f>
        <v>8</v>
      </c>
      <c r="U36">
        <f>T36*S35</f>
        <v>11.2</v>
      </c>
    </row>
    <row r="37" spans="1:24" x14ac:dyDescent="0.25">
      <c r="A37" s="86"/>
      <c r="B37" s="36" t="s">
        <v>0</v>
      </c>
      <c r="C37" s="31"/>
      <c r="D37" s="27"/>
      <c r="E37" s="28"/>
      <c r="F37" s="34" t="str">
        <f t="shared" si="2"/>
        <v/>
      </c>
      <c r="K37">
        <f>550/200</f>
        <v>2.75</v>
      </c>
      <c r="L37">
        <f>K37*0.55</f>
        <v>1.5125000000000002</v>
      </c>
      <c r="N37">
        <f>L37+L38</f>
        <v>3.0250000000000004</v>
      </c>
      <c r="O37">
        <f>N37*12</f>
        <v>36.300000000000004</v>
      </c>
      <c r="P37">
        <f>(O37*100)/162</f>
        <v>22.407407407407412</v>
      </c>
      <c r="S37">
        <f>550/200</f>
        <v>2.75</v>
      </c>
      <c r="T37">
        <f>S37*0.55</f>
        <v>1.5125000000000002</v>
      </c>
      <c r="V37">
        <f>T37+T38</f>
        <v>3.0250000000000004</v>
      </c>
      <c r="W37">
        <f>V37*12</f>
        <v>36.300000000000004</v>
      </c>
      <c r="X37">
        <f>(W37*100)/162</f>
        <v>22.407407407407412</v>
      </c>
    </row>
    <row r="38" spans="1:24" x14ac:dyDescent="0.25">
      <c r="A38" s="60"/>
      <c r="B38" s="90" t="s">
        <v>235</v>
      </c>
      <c r="C38" s="31">
        <v>94.393420000000006</v>
      </c>
      <c r="D38" s="27" t="s">
        <v>157</v>
      </c>
      <c r="E38" s="28"/>
      <c r="F38" s="34">
        <f t="shared" si="2"/>
        <v>0</v>
      </c>
      <c r="K38">
        <f>550/200</f>
        <v>2.75</v>
      </c>
      <c r="L38">
        <f>K38*0.55</f>
        <v>1.5125000000000002</v>
      </c>
      <c r="S38">
        <f>550/200</f>
        <v>2.75</v>
      </c>
      <c r="T38">
        <f>S38*0.55</f>
        <v>1.5125000000000002</v>
      </c>
    </row>
    <row r="39" spans="1:24" ht="15.75" x14ac:dyDescent="0.25">
      <c r="A39" s="86"/>
      <c r="B39" s="36" t="s">
        <v>100</v>
      </c>
      <c r="C39" s="31">
        <v>5.75</v>
      </c>
      <c r="D39" s="27" t="s">
        <v>23</v>
      </c>
      <c r="E39" s="28"/>
      <c r="F39" s="34">
        <f t="shared" si="2"/>
        <v>0</v>
      </c>
      <c r="Q39">
        <f>O35+W35</f>
        <v>94.393415637860073</v>
      </c>
    </row>
    <row r="40" spans="1:24" x14ac:dyDescent="0.25">
      <c r="A40" s="60"/>
      <c r="B40" s="88" t="s">
        <v>1</v>
      </c>
      <c r="C40" s="27"/>
      <c r="D40" s="27"/>
      <c r="E40" s="28"/>
      <c r="F40" s="34" t="str">
        <f t="shared" si="2"/>
        <v/>
      </c>
    </row>
    <row r="41" spans="1:24" ht="43.5" customHeight="1" x14ac:dyDescent="0.25">
      <c r="A41" s="60"/>
      <c r="B41" s="2" t="s">
        <v>99</v>
      </c>
      <c r="C41" s="31">
        <f>((1+1+1.4+1.4)*0.3)+((0.6+0.6+0.3+0.3)*0.14)+((1.3+1.3+0.15+0.15)*1.4)</f>
        <v>5.7519999999999998</v>
      </c>
      <c r="D41" s="27" t="s">
        <v>23</v>
      </c>
      <c r="E41" s="28"/>
      <c r="F41" s="34">
        <f t="shared" si="2"/>
        <v>0</v>
      </c>
    </row>
    <row r="42" spans="1:24" x14ac:dyDescent="0.25">
      <c r="A42" s="60"/>
      <c r="B42" s="36"/>
      <c r="C42" s="33"/>
      <c r="D42" s="27"/>
      <c r="E42" s="28"/>
      <c r="F42" s="34" t="str">
        <f t="shared" si="0"/>
        <v/>
      </c>
    </row>
    <row r="43" spans="1:24" x14ac:dyDescent="0.25">
      <c r="A43" s="86"/>
      <c r="B43" s="14" t="s">
        <v>236</v>
      </c>
      <c r="C43" s="27"/>
      <c r="D43" s="27"/>
      <c r="E43" s="28"/>
      <c r="F43" s="34" t="str">
        <f t="shared" ref="F43:F49" si="3">IF(E43="",IF(C43="","",C43*E43),C43*E43)</f>
        <v/>
      </c>
      <c r="K43">
        <f>1.81+1.81+1.933</f>
        <v>5.5529999999999999</v>
      </c>
      <c r="L43">
        <f>K43*0.3*8</f>
        <v>13.327199999999999</v>
      </c>
      <c r="O43">
        <f>5553/150</f>
        <v>37.020000000000003</v>
      </c>
      <c r="P43">
        <f>K44*O43</f>
        <v>64.785000000000011</v>
      </c>
      <c r="Q43">
        <f>P43+P44</f>
        <v>129.57</v>
      </c>
      <c r="R43">
        <f>(Q43*(10*10))/162</f>
        <v>79.981481481481481</v>
      </c>
    </row>
    <row r="44" spans="1:24" ht="15.75" x14ac:dyDescent="0.25">
      <c r="A44" s="60"/>
      <c r="B44" s="2" t="s">
        <v>122</v>
      </c>
      <c r="C44" s="31">
        <v>13.327199999999999</v>
      </c>
      <c r="D44" s="27" t="s">
        <v>83</v>
      </c>
      <c r="E44" s="28"/>
      <c r="F44" s="34">
        <f t="shared" si="3"/>
        <v>0</v>
      </c>
      <c r="K44">
        <v>1.75</v>
      </c>
      <c r="O44">
        <f>1750/150</f>
        <v>11.666666666666666</v>
      </c>
      <c r="P44">
        <f>O44*K43</f>
        <v>64.784999999999997</v>
      </c>
    </row>
    <row r="45" spans="1:24" x14ac:dyDescent="0.25">
      <c r="A45" s="86"/>
      <c r="B45" s="36" t="s">
        <v>0</v>
      </c>
      <c r="C45" s="31"/>
      <c r="D45" s="27"/>
      <c r="E45" s="28"/>
      <c r="F45" s="34" t="str">
        <f t="shared" si="3"/>
        <v/>
      </c>
    </row>
    <row r="46" spans="1:24" x14ac:dyDescent="0.25">
      <c r="A46" s="60"/>
      <c r="B46" s="90" t="s">
        <v>127</v>
      </c>
      <c r="C46" s="31">
        <v>79.981480000000005</v>
      </c>
      <c r="D46" s="27" t="s">
        <v>157</v>
      </c>
      <c r="E46" s="28"/>
      <c r="F46" s="34">
        <f t="shared" si="3"/>
        <v>0</v>
      </c>
      <c r="K46">
        <f>K44*K43*2</f>
        <v>19.435500000000001</v>
      </c>
    </row>
    <row r="47" spans="1:24" ht="15.75" x14ac:dyDescent="0.25">
      <c r="A47" s="86"/>
      <c r="B47" s="36" t="s">
        <v>100</v>
      </c>
      <c r="C47" s="31">
        <v>19.433499999999999</v>
      </c>
      <c r="D47" s="27" t="s">
        <v>23</v>
      </c>
      <c r="E47" s="28"/>
      <c r="F47" s="34">
        <f t="shared" si="3"/>
        <v>0</v>
      </c>
    </row>
    <row r="48" spans="1:24" x14ac:dyDescent="0.25">
      <c r="A48" s="60"/>
      <c r="B48" s="88" t="s">
        <v>1</v>
      </c>
      <c r="C48" s="27"/>
      <c r="D48" s="27"/>
      <c r="E48" s="28"/>
      <c r="F48" s="34" t="str">
        <f t="shared" si="3"/>
        <v/>
      </c>
    </row>
    <row r="49" spans="1:27" ht="43.5" customHeight="1" x14ac:dyDescent="0.25">
      <c r="A49" s="60"/>
      <c r="B49" s="2" t="s">
        <v>99</v>
      </c>
      <c r="C49" s="31">
        <v>19.433499999999999</v>
      </c>
      <c r="D49" s="27" t="s">
        <v>23</v>
      </c>
      <c r="E49" s="28"/>
      <c r="F49" s="34">
        <f t="shared" si="3"/>
        <v>0</v>
      </c>
    </row>
    <row r="50" spans="1:27" x14ac:dyDescent="0.25">
      <c r="A50" s="60"/>
      <c r="B50" s="36"/>
      <c r="C50" s="33"/>
      <c r="D50" s="27"/>
      <c r="E50" s="28"/>
      <c r="F50" s="34" t="str">
        <f t="shared" si="0"/>
        <v/>
      </c>
    </row>
    <row r="51" spans="1:27" x14ac:dyDescent="0.25">
      <c r="A51" s="86"/>
      <c r="B51" s="14" t="s">
        <v>215</v>
      </c>
      <c r="C51" s="27"/>
      <c r="D51" s="27"/>
      <c r="E51" s="28"/>
      <c r="F51" s="34" t="str">
        <f t="shared" si="0"/>
        <v/>
      </c>
    </row>
    <row r="52" spans="1:27" ht="15.75" x14ac:dyDescent="0.25">
      <c r="A52" s="60"/>
      <c r="B52" s="2" t="s">
        <v>123</v>
      </c>
      <c r="C52" s="31">
        <f>M55</f>
        <v>15.118500000000001</v>
      </c>
      <c r="D52" s="27" t="s">
        <v>83</v>
      </c>
      <c r="E52" s="28"/>
      <c r="F52" s="34">
        <f t="shared" si="0"/>
        <v>0</v>
      </c>
    </row>
    <row r="53" spans="1:27" x14ac:dyDescent="0.25">
      <c r="A53" s="86"/>
      <c r="B53" s="36" t="s">
        <v>0</v>
      </c>
      <c r="C53" s="31"/>
      <c r="D53" s="27"/>
      <c r="E53" s="28"/>
      <c r="F53" s="34" t="str">
        <f t="shared" si="0"/>
        <v/>
      </c>
      <c r="Q53" t="s">
        <v>220</v>
      </c>
    </row>
    <row r="54" spans="1:27" x14ac:dyDescent="0.25">
      <c r="A54" s="60"/>
      <c r="B54" s="90" t="s">
        <v>125</v>
      </c>
      <c r="C54" s="31">
        <f>AA55</f>
        <v>636.09688888888888</v>
      </c>
      <c r="D54" s="27" t="s">
        <v>157</v>
      </c>
      <c r="E54" s="28"/>
      <c r="F54" s="34">
        <f t="shared" si="0"/>
        <v>0</v>
      </c>
      <c r="J54" t="s">
        <v>204</v>
      </c>
      <c r="K54" t="s">
        <v>27</v>
      </c>
      <c r="L54" t="s">
        <v>200</v>
      </c>
      <c r="M54" t="s">
        <v>219</v>
      </c>
      <c r="N54" t="s">
        <v>223</v>
      </c>
      <c r="Q54" t="s">
        <v>221</v>
      </c>
      <c r="R54" t="s">
        <v>10</v>
      </c>
      <c r="S54" t="s">
        <v>222</v>
      </c>
      <c r="T54" t="s">
        <v>205</v>
      </c>
      <c r="V54" s="224" t="s">
        <v>206</v>
      </c>
      <c r="W54" s="224" t="s">
        <v>207</v>
      </c>
      <c r="X54" s="224" t="s">
        <v>208</v>
      </c>
      <c r="Y54" s="224" t="s">
        <v>209</v>
      </c>
      <c r="Z54" s="224" t="s">
        <v>210</v>
      </c>
      <c r="AA54" s="224" t="s">
        <v>205</v>
      </c>
    </row>
    <row r="55" spans="1:27" x14ac:dyDescent="0.25">
      <c r="A55" s="60"/>
      <c r="B55" s="90" t="s">
        <v>237</v>
      </c>
      <c r="C55" s="31">
        <f>T55</f>
        <v>2297.2079772079778</v>
      </c>
      <c r="D55" s="27" t="s">
        <v>157</v>
      </c>
      <c r="E55" s="28"/>
      <c r="F55" s="34">
        <f t="shared" si="0"/>
        <v>0</v>
      </c>
      <c r="J55" s="236">
        <v>100.79</v>
      </c>
      <c r="K55" s="236">
        <v>0.5</v>
      </c>
      <c r="L55" s="236">
        <v>0.3</v>
      </c>
      <c r="M55" s="237">
        <f>L55*K55*J55</f>
        <v>15.118500000000001</v>
      </c>
      <c r="N55">
        <f>(K55+K55+L55)*J55</f>
        <v>131.02700000000002</v>
      </c>
      <c r="Q55" s="236">
        <v>20</v>
      </c>
      <c r="R55" s="236">
        <v>8</v>
      </c>
      <c r="S55">
        <f>((((J55/5.2)*(40*Q55))/1000)+J55)*R55</f>
        <v>930.36923076923085</v>
      </c>
      <c r="T55">
        <f>((S55*(Q55*Q55))/162)</f>
        <v>2297.2079772079778</v>
      </c>
      <c r="W55" s="223">
        <v>2</v>
      </c>
      <c r="X55" s="223">
        <v>0.1</v>
      </c>
      <c r="Y55">
        <f>(J55*W55)/X55</f>
        <v>2015.8</v>
      </c>
      <c r="Z55">
        <f>(((K55-0.045)+(L55-0.045))*2)*Y55</f>
        <v>2862.4359999999997</v>
      </c>
      <c r="AA55">
        <f>((6*6)*Z55)/162</f>
        <v>636.09688888888888</v>
      </c>
    </row>
    <row r="56" spans="1:27" x14ac:dyDescent="0.25">
      <c r="A56" s="60"/>
      <c r="B56" s="90" t="s">
        <v>98</v>
      </c>
      <c r="C56" s="31">
        <v>1</v>
      </c>
      <c r="D56" s="27" t="s">
        <v>124</v>
      </c>
      <c r="E56" s="28"/>
      <c r="F56" s="34">
        <f t="shared" si="0"/>
        <v>0</v>
      </c>
    </row>
    <row r="57" spans="1:27" x14ac:dyDescent="0.25">
      <c r="A57" s="60"/>
      <c r="B57" s="88" t="s">
        <v>1</v>
      </c>
      <c r="C57" s="27"/>
      <c r="D57" s="27"/>
      <c r="E57" s="28"/>
      <c r="F57" s="34" t="str">
        <f t="shared" si="0"/>
        <v/>
      </c>
    </row>
    <row r="58" spans="1:27" ht="43.5" customHeight="1" x14ac:dyDescent="0.25">
      <c r="A58" s="60"/>
      <c r="B58" s="2" t="s">
        <v>99</v>
      </c>
      <c r="C58" s="31">
        <f>N55</f>
        <v>131.02700000000002</v>
      </c>
      <c r="D58" s="27" t="s">
        <v>23</v>
      </c>
      <c r="E58" s="28"/>
      <c r="F58" s="34">
        <f t="shared" si="0"/>
        <v>0</v>
      </c>
    </row>
    <row r="59" spans="1:27" x14ac:dyDescent="0.25">
      <c r="A59" s="60"/>
      <c r="B59" s="36"/>
      <c r="C59" s="33"/>
      <c r="D59" s="27"/>
      <c r="E59" s="28"/>
      <c r="F59" s="34" t="str">
        <f>IF(E59="",IF(C59="","",C59*E59),C59*E59)</f>
        <v/>
      </c>
      <c r="J59">
        <v>412.29</v>
      </c>
      <c r="K59">
        <f>J59*0.1</f>
        <v>41.229000000000006</v>
      </c>
    </row>
    <row r="60" spans="1:27" x14ac:dyDescent="0.25">
      <c r="A60" s="156"/>
      <c r="B60" s="157"/>
      <c r="C60" s="158"/>
      <c r="D60" s="152"/>
      <c r="E60" s="153"/>
      <c r="F60" s="154"/>
      <c r="J60">
        <f>J59/30</f>
        <v>13.743</v>
      </c>
    </row>
    <row r="61" spans="1:27" ht="15.75" thickBot="1" x14ac:dyDescent="0.3">
      <c r="A61" s="199">
        <v>3.3</v>
      </c>
      <c r="B61" s="258" t="s">
        <v>126</v>
      </c>
      <c r="C61" s="259"/>
      <c r="D61" s="259"/>
      <c r="E61" s="259"/>
      <c r="F61" s="155">
        <f>SUM(F62:F147)</f>
        <v>0</v>
      </c>
    </row>
    <row r="62" spans="1:27" ht="15.75" thickTop="1" x14ac:dyDescent="0.25">
      <c r="A62" s="60"/>
      <c r="B62" s="2"/>
      <c r="C62" s="31"/>
      <c r="D62" s="27"/>
      <c r="E62" s="28"/>
      <c r="F62" s="34"/>
    </row>
    <row r="63" spans="1:27" x14ac:dyDescent="0.25">
      <c r="A63" s="86"/>
      <c r="B63" s="14" t="s">
        <v>233</v>
      </c>
      <c r="C63" s="27"/>
      <c r="D63" s="27"/>
      <c r="E63" s="17"/>
      <c r="F63" s="34" t="str">
        <f t="shared" ref="F63:F264" si="4">IF(E63="",IF(C63="","",C63*E63),C63*E63)</f>
        <v/>
      </c>
      <c r="J63">
        <f>30000/200</f>
        <v>150</v>
      </c>
      <c r="K63">
        <f>J63*13.743</f>
        <v>2061.4500000000003</v>
      </c>
      <c r="L63">
        <f>J64*((13.743/5.2)*(40*0.01))</f>
        <v>72.642326538461546</v>
      </c>
      <c r="M63">
        <f>K63+K64+L63+L64</f>
        <v>4541.6961726923091</v>
      </c>
      <c r="N63">
        <f>M63*1</f>
        <v>4541.6961726923091</v>
      </c>
      <c r="O63">
        <f>(N63*(10*10))/162</f>
        <v>2803.5161559829066</v>
      </c>
    </row>
    <row r="64" spans="1:27" ht="15.75" x14ac:dyDescent="0.25">
      <c r="A64" s="60"/>
      <c r="B64" s="2" t="s">
        <v>122</v>
      </c>
      <c r="C64" s="31">
        <v>41.228999999999999</v>
      </c>
      <c r="D64" s="27" t="s">
        <v>83</v>
      </c>
      <c r="E64" s="17"/>
      <c r="F64" s="34">
        <f t="shared" si="4"/>
        <v>0</v>
      </c>
      <c r="J64">
        <f>13743/200</f>
        <v>68.715000000000003</v>
      </c>
      <c r="K64">
        <f>J64*30</f>
        <v>2061.4500000000003</v>
      </c>
      <c r="L64">
        <f>J63*((30/5.2)*(40*0.01))</f>
        <v>346.15384615384619</v>
      </c>
    </row>
    <row r="65" spans="1:25" x14ac:dyDescent="0.25">
      <c r="A65" s="86"/>
      <c r="B65" s="36" t="s">
        <v>0</v>
      </c>
      <c r="C65" s="31"/>
      <c r="D65" s="27"/>
      <c r="E65" s="17"/>
      <c r="F65" s="34" t="str">
        <f t="shared" si="4"/>
        <v/>
      </c>
    </row>
    <row r="66" spans="1:25" x14ac:dyDescent="0.25">
      <c r="A66" s="60"/>
      <c r="B66" s="90" t="s">
        <v>256</v>
      </c>
      <c r="C66" s="31">
        <v>2803.5160000000001</v>
      </c>
      <c r="D66" s="27" t="s">
        <v>157</v>
      </c>
      <c r="E66" s="17"/>
      <c r="F66" s="34">
        <f t="shared" si="4"/>
        <v>0</v>
      </c>
    </row>
    <row r="67" spans="1:25" ht="15.75" x14ac:dyDescent="0.25">
      <c r="A67" s="60"/>
      <c r="B67" s="90" t="s">
        <v>154</v>
      </c>
      <c r="C67" s="31">
        <v>412.29</v>
      </c>
      <c r="D67" s="27" t="s">
        <v>23</v>
      </c>
      <c r="E67" s="17"/>
      <c r="F67" s="34">
        <f t="shared" si="4"/>
        <v>0</v>
      </c>
    </row>
    <row r="68" spans="1:25" x14ac:dyDescent="0.25">
      <c r="A68" s="60"/>
      <c r="B68" s="90"/>
      <c r="C68" s="31"/>
      <c r="D68" s="27"/>
      <c r="E68" s="17"/>
      <c r="F68" s="34" t="str">
        <f t="shared" si="4"/>
        <v/>
      </c>
    </row>
    <row r="69" spans="1:25" x14ac:dyDescent="0.25">
      <c r="A69" s="86"/>
      <c r="B69" s="227" t="str">
        <f>CONCATENATE("Column ",H71)</f>
        <v>Column C1</v>
      </c>
      <c r="C69" s="31"/>
      <c r="D69" s="27"/>
      <c r="E69" s="17"/>
      <c r="F69" s="34" t="str">
        <f t="shared" si="4"/>
        <v/>
      </c>
      <c r="H69" s="12"/>
      <c r="I69" t="s">
        <v>122</v>
      </c>
      <c r="P69" t="s">
        <v>198</v>
      </c>
    </row>
    <row r="70" spans="1:25" ht="15.75" x14ac:dyDescent="0.25">
      <c r="A70" s="60"/>
      <c r="B70" s="2" t="s">
        <v>123</v>
      </c>
      <c r="C70" s="31">
        <f>+N71</f>
        <v>9.0782880000000006</v>
      </c>
      <c r="D70" s="27" t="s">
        <v>83</v>
      </c>
      <c r="E70" s="28"/>
      <c r="F70" s="34">
        <f t="shared" si="4"/>
        <v>0</v>
      </c>
      <c r="H70" s="12"/>
      <c r="I70" s="12" t="s">
        <v>10</v>
      </c>
      <c r="J70" s="12" t="s">
        <v>199</v>
      </c>
      <c r="K70" s="12" t="s">
        <v>200</v>
      </c>
      <c r="L70" s="12" t="s">
        <v>27</v>
      </c>
      <c r="M70" s="12" t="s">
        <v>21</v>
      </c>
      <c r="N70" s="12" t="s">
        <v>201</v>
      </c>
      <c r="O70" t="s">
        <v>202</v>
      </c>
      <c r="P70" t="s">
        <v>203</v>
      </c>
      <c r="Q70" s="223" t="s">
        <v>10</v>
      </c>
      <c r="R70" s="224" t="s">
        <v>204</v>
      </c>
      <c r="S70" s="224" t="s">
        <v>205</v>
      </c>
      <c r="T70" s="224" t="s">
        <v>206</v>
      </c>
      <c r="U70" s="224" t="s">
        <v>207</v>
      </c>
      <c r="V70" s="224" t="s">
        <v>208</v>
      </c>
      <c r="W70" s="224" t="s">
        <v>209</v>
      </c>
      <c r="X70" s="224" t="s">
        <v>210</v>
      </c>
      <c r="Y70" s="224" t="s">
        <v>205</v>
      </c>
    </row>
    <row r="71" spans="1:25" x14ac:dyDescent="0.25">
      <c r="A71" s="86"/>
      <c r="B71" s="36" t="s">
        <v>0</v>
      </c>
      <c r="C71" s="31"/>
      <c r="D71" s="27"/>
      <c r="E71" s="28"/>
      <c r="F71" s="34" t="str">
        <f t="shared" si="4"/>
        <v/>
      </c>
      <c r="H71" s="12" t="s">
        <v>211</v>
      </c>
      <c r="I71" s="223">
        <v>4</v>
      </c>
      <c r="J71" s="223">
        <v>6.101</v>
      </c>
      <c r="K71" s="223"/>
      <c r="L71" s="223"/>
      <c r="M71">
        <v>0.372</v>
      </c>
      <c r="N71">
        <f>M71*J71*I71</f>
        <v>9.0782880000000006</v>
      </c>
      <c r="O71">
        <f>3.191*J71*I71</f>
        <v>77.873164000000003</v>
      </c>
      <c r="P71" s="223">
        <v>16</v>
      </c>
      <c r="Q71" s="223">
        <v>12</v>
      </c>
      <c r="R71">
        <f>(J71+0.2)*Q71*I71</f>
        <v>302.44799999999998</v>
      </c>
      <c r="S71">
        <f>(R71*(P71*P71))/162</f>
        <v>477.94251851851851</v>
      </c>
      <c r="U71" s="223">
        <v>3</v>
      </c>
      <c r="V71" s="223">
        <v>0.15</v>
      </c>
      <c r="W71">
        <f>(J71*I71*U71)/V71</f>
        <v>488.08000000000004</v>
      </c>
      <c r="X71">
        <f>1.533*2*W71</f>
        <v>1496.4532799999999</v>
      </c>
      <c r="Y71">
        <f>((6*6)*X71)/162</f>
        <v>332.54517333333331</v>
      </c>
    </row>
    <row r="72" spans="1:25" x14ac:dyDescent="0.25">
      <c r="A72" s="60"/>
      <c r="B72" s="90" t="s">
        <v>125</v>
      </c>
      <c r="C72" s="31">
        <f>+Y71</f>
        <v>332.54517333333331</v>
      </c>
      <c r="D72" s="27" t="s">
        <v>212</v>
      </c>
      <c r="E72" s="28"/>
      <c r="F72" s="34">
        <f t="shared" si="4"/>
        <v>0</v>
      </c>
      <c r="H72" s="12" t="s">
        <v>211</v>
      </c>
      <c r="I72" s="223"/>
      <c r="J72" s="223">
        <v>3.85</v>
      </c>
      <c r="K72" s="223">
        <v>0.2</v>
      </c>
      <c r="L72" s="223">
        <v>0.2</v>
      </c>
      <c r="M72">
        <f>L72*K72</f>
        <v>4.0000000000000008E-2</v>
      </c>
      <c r="N72">
        <f>M72*J72*I72</f>
        <v>0</v>
      </c>
      <c r="O72">
        <f>(((J72*K72)+(J72*L72))*2)*I72</f>
        <v>0</v>
      </c>
      <c r="P72" s="223">
        <v>12</v>
      </c>
      <c r="Q72" s="223">
        <v>4</v>
      </c>
      <c r="R72">
        <f>(J72+0.2)*Q72*I72</f>
        <v>0</v>
      </c>
      <c r="S72">
        <f>(R72*(P72*P72))/162</f>
        <v>0</v>
      </c>
      <c r="U72" s="223">
        <v>1</v>
      </c>
      <c r="V72" s="223">
        <v>0.15</v>
      </c>
      <c r="W72">
        <f>(J72*I72*U72)/V72</f>
        <v>0</v>
      </c>
      <c r="X72">
        <f>(((K72-0.045)+(L72-0.045))*2)*W72</f>
        <v>0</v>
      </c>
      <c r="Y72">
        <f>((6*6)*X72)/162</f>
        <v>0</v>
      </c>
    </row>
    <row r="73" spans="1:25" x14ac:dyDescent="0.25">
      <c r="A73" s="60"/>
      <c r="B73" s="90" t="str">
        <f>CONCATENATE("Steel deformed bars, ",P71," mm dia")</f>
        <v>Steel deformed bars, 16 mm dia</v>
      </c>
      <c r="C73" s="31">
        <f>+S71</f>
        <v>477.94251851851851</v>
      </c>
      <c r="D73" s="27" t="s">
        <v>212</v>
      </c>
      <c r="E73" s="28"/>
      <c r="F73" s="34">
        <f t="shared" si="4"/>
        <v>0</v>
      </c>
    </row>
    <row r="74" spans="1:25" x14ac:dyDescent="0.25">
      <c r="A74" s="60"/>
      <c r="B74" s="90" t="str">
        <f>IF(I72="","",CONCATENATE("Steel deformed bars, ",P72," mm dia"))</f>
        <v/>
      </c>
      <c r="C74" s="31" t="str">
        <f>IF(I72="","",S72)</f>
        <v/>
      </c>
      <c r="D74" s="27" t="str">
        <f>IF(I72="","","kg")</f>
        <v/>
      </c>
      <c r="E74" s="28"/>
      <c r="F74" s="34" t="str">
        <f t="shared" si="4"/>
        <v/>
      </c>
    </row>
    <row r="75" spans="1:25" x14ac:dyDescent="0.25">
      <c r="A75" s="60"/>
      <c r="B75" s="90" t="s">
        <v>98</v>
      </c>
      <c r="C75" s="31">
        <v>1</v>
      </c>
      <c r="D75" s="27" t="s">
        <v>124</v>
      </c>
      <c r="E75" s="28"/>
      <c r="F75" s="34">
        <f t="shared" si="4"/>
        <v>0</v>
      </c>
    </row>
    <row r="76" spans="1:25" x14ac:dyDescent="0.25">
      <c r="A76" s="60"/>
      <c r="B76" s="90"/>
      <c r="C76" s="31"/>
      <c r="D76" s="27"/>
      <c r="E76" s="28"/>
      <c r="F76" s="34" t="str">
        <f t="shared" si="4"/>
        <v/>
      </c>
    </row>
    <row r="77" spans="1:25" x14ac:dyDescent="0.25">
      <c r="A77" s="60"/>
      <c r="B77" s="88" t="s">
        <v>1</v>
      </c>
      <c r="C77" s="31"/>
      <c r="D77" s="27"/>
      <c r="E77" s="28"/>
      <c r="F77" s="34" t="str">
        <f t="shared" si="4"/>
        <v/>
      </c>
    </row>
    <row r="78" spans="1:25" ht="38.25" x14ac:dyDescent="0.25">
      <c r="A78" s="60"/>
      <c r="B78" s="2" t="s">
        <v>99</v>
      </c>
      <c r="C78" s="225">
        <f>+O71</f>
        <v>77.873164000000003</v>
      </c>
      <c r="D78" s="226" t="s">
        <v>23</v>
      </c>
      <c r="E78" s="28"/>
      <c r="F78" s="34">
        <f t="shared" si="4"/>
        <v>0</v>
      </c>
    </row>
    <row r="79" spans="1:25" x14ac:dyDescent="0.25">
      <c r="A79" s="60"/>
      <c r="B79" s="90"/>
      <c r="C79" s="31"/>
      <c r="D79" s="27"/>
      <c r="E79" s="17"/>
      <c r="F79" s="34" t="str">
        <f t="shared" ref="F79:F89" si="5">IF(E79="",IF(C79="","",C79*E79),C79*E79)</f>
        <v/>
      </c>
    </row>
    <row r="80" spans="1:25" x14ac:dyDescent="0.25">
      <c r="A80" s="86"/>
      <c r="B80" s="227" t="str">
        <f>CONCATENATE("Column ",H82)</f>
        <v>Column C1a</v>
      </c>
      <c r="C80" s="31"/>
      <c r="D80" s="27"/>
      <c r="E80" s="17"/>
      <c r="F80" s="34" t="str">
        <f t="shared" si="5"/>
        <v/>
      </c>
      <c r="H80" s="12"/>
      <c r="I80" t="s">
        <v>122</v>
      </c>
      <c r="P80" t="s">
        <v>198</v>
      </c>
    </row>
    <row r="81" spans="1:25" ht="15.75" x14ac:dyDescent="0.25">
      <c r="A81" s="60"/>
      <c r="B81" s="2" t="s">
        <v>123</v>
      </c>
      <c r="C81" s="31">
        <f>+N82</f>
        <v>9.0782880000000006</v>
      </c>
      <c r="D81" s="27" t="s">
        <v>83</v>
      </c>
      <c r="E81" s="28"/>
      <c r="F81" s="34">
        <f t="shared" si="5"/>
        <v>0</v>
      </c>
      <c r="H81" s="12"/>
      <c r="I81" s="12" t="s">
        <v>10</v>
      </c>
      <c r="J81" s="12" t="s">
        <v>199</v>
      </c>
      <c r="K81" s="12" t="s">
        <v>200</v>
      </c>
      <c r="L81" s="12" t="s">
        <v>27</v>
      </c>
      <c r="M81" s="12" t="s">
        <v>21</v>
      </c>
      <c r="N81" s="12" t="s">
        <v>201</v>
      </c>
      <c r="O81" t="s">
        <v>202</v>
      </c>
      <c r="P81" t="s">
        <v>203</v>
      </c>
      <c r="Q81" s="223" t="s">
        <v>10</v>
      </c>
      <c r="R81" s="224" t="s">
        <v>204</v>
      </c>
      <c r="S81" s="224" t="s">
        <v>205</v>
      </c>
      <c r="T81" s="224" t="s">
        <v>243</v>
      </c>
      <c r="U81" s="224" t="s">
        <v>207</v>
      </c>
      <c r="V81" s="224" t="s">
        <v>208</v>
      </c>
      <c r="W81" s="224" t="s">
        <v>209</v>
      </c>
      <c r="X81" s="224" t="s">
        <v>210</v>
      </c>
      <c r="Y81" s="224" t="s">
        <v>205</v>
      </c>
    </row>
    <row r="82" spans="1:25" x14ac:dyDescent="0.25">
      <c r="A82" s="86"/>
      <c r="B82" s="36" t="s">
        <v>0</v>
      </c>
      <c r="C82" s="31"/>
      <c r="D82" s="27"/>
      <c r="E82" s="28"/>
      <c r="F82" s="34" t="str">
        <f t="shared" si="5"/>
        <v/>
      </c>
      <c r="H82" s="12" t="s">
        <v>242</v>
      </c>
      <c r="I82" s="223">
        <v>4</v>
      </c>
      <c r="J82" s="223">
        <v>6.101</v>
      </c>
      <c r="K82" s="223"/>
      <c r="L82" s="223"/>
      <c r="M82">
        <v>0.372</v>
      </c>
      <c r="N82">
        <f>M82*J82*I82</f>
        <v>9.0782880000000006</v>
      </c>
      <c r="O82">
        <f>3.191*J82*I82</f>
        <v>77.873164000000003</v>
      </c>
      <c r="P82" s="223">
        <v>20</v>
      </c>
      <c r="Q82" s="223">
        <v>12</v>
      </c>
      <c r="R82">
        <f>(J82+0.2)*Q82*I82</f>
        <v>302.44799999999998</v>
      </c>
      <c r="S82">
        <f>(R82*(P82*P82))/162</f>
        <v>746.78518518518513</v>
      </c>
      <c r="U82" s="223">
        <v>3</v>
      </c>
      <c r="V82" s="223">
        <v>0.15</v>
      </c>
      <c r="W82">
        <f>(J82*I82*U82)/V82</f>
        <v>488.08000000000004</v>
      </c>
      <c r="X82">
        <f>1.533*2*W82</f>
        <v>1496.4532799999999</v>
      </c>
      <c r="Y82">
        <f>((8*8)*X82)/162</f>
        <v>591.19141925925919</v>
      </c>
    </row>
    <row r="83" spans="1:25" x14ac:dyDescent="0.25">
      <c r="A83" s="60"/>
      <c r="B83" s="90" t="s">
        <v>244</v>
      </c>
      <c r="C83" s="31">
        <f>+Y82</f>
        <v>591.19141925925919</v>
      </c>
      <c r="D83" s="27" t="s">
        <v>212</v>
      </c>
      <c r="E83" s="28"/>
      <c r="F83" s="34">
        <f t="shared" si="5"/>
        <v>0</v>
      </c>
      <c r="H83" s="12" t="s">
        <v>211</v>
      </c>
      <c r="I83" s="223"/>
      <c r="J83" s="223">
        <v>3.85</v>
      </c>
      <c r="K83" s="223">
        <v>0.2</v>
      </c>
      <c r="L83" s="223">
        <v>0.2</v>
      </c>
      <c r="M83">
        <f>L83*K83</f>
        <v>4.0000000000000008E-2</v>
      </c>
      <c r="N83">
        <f>M83*J83*I83</f>
        <v>0</v>
      </c>
      <c r="O83">
        <f>(((J83*K83)+(J83*L83))*2)*I83</f>
        <v>0</v>
      </c>
      <c r="P83" s="223">
        <v>20</v>
      </c>
      <c r="Q83" s="223">
        <v>4</v>
      </c>
      <c r="R83">
        <f>(J83+0.2)*Q83*I83</f>
        <v>0</v>
      </c>
      <c r="S83">
        <f>(R83*(P83*P83))/162</f>
        <v>0</v>
      </c>
      <c r="U83" s="223">
        <v>1</v>
      </c>
      <c r="V83" s="223">
        <v>0.15</v>
      </c>
      <c r="W83">
        <f>(J83*I83*U83)/V83</f>
        <v>0</v>
      </c>
      <c r="X83">
        <f>(((K83-0.045)+(L83-0.045))*2)*W83</f>
        <v>0</v>
      </c>
      <c r="Y83">
        <f>((6*6)*X83)/162</f>
        <v>0</v>
      </c>
    </row>
    <row r="84" spans="1:25" x14ac:dyDescent="0.25">
      <c r="A84" s="60"/>
      <c r="B84" s="90" t="str">
        <f>CONCATENATE("Steel deformed bars, ",P82," mm dia")</f>
        <v>Steel deformed bars, 20 mm dia</v>
      </c>
      <c r="C84" s="31">
        <f>+S82</f>
        <v>746.78518518518513</v>
      </c>
      <c r="D84" s="27" t="s">
        <v>212</v>
      </c>
      <c r="E84" s="28"/>
      <c r="F84" s="34">
        <f t="shared" si="5"/>
        <v>0</v>
      </c>
    </row>
    <row r="85" spans="1:25" x14ac:dyDescent="0.25">
      <c r="A85" s="60"/>
      <c r="B85" s="90" t="str">
        <f>IF(I83="","",CONCATENATE("Steel deformed bars, ",P83," mm dia"))</f>
        <v/>
      </c>
      <c r="C85" s="31" t="str">
        <f>IF(I83="","",S83)</f>
        <v/>
      </c>
      <c r="D85" s="27" t="str">
        <f>IF(I83="","","kg")</f>
        <v/>
      </c>
      <c r="E85" s="28"/>
      <c r="F85" s="34" t="str">
        <f t="shared" si="5"/>
        <v/>
      </c>
    </row>
    <row r="86" spans="1:25" x14ac:dyDescent="0.25">
      <c r="A86" s="60"/>
      <c r="B86" s="90" t="s">
        <v>98</v>
      </c>
      <c r="C86" s="31">
        <v>1</v>
      </c>
      <c r="D86" s="27" t="s">
        <v>124</v>
      </c>
      <c r="E86" s="28"/>
      <c r="F86" s="34">
        <f t="shared" si="5"/>
        <v>0</v>
      </c>
    </row>
    <row r="87" spans="1:25" x14ac:dyDescent="0.25">
      <c r="A87" s="60"/>
      <c r="B87" s="90"/>
      <c r="C87" s="31"/>
      <c r="D87" s="27"/>
      <c r="E87" s="28"/>
      <c r="F87" s="34" t="str">
        <f t="shared" si="5"/>
        <v/>
      </c>
    </row>
    <row r="88" spans="1:25" x14ac:dyDescent="0.25">
      <c r="A88" s="60"/>
      <c r="B88" s="88" t="s">
        <v>1</v>
      </c>
      <c r="C88" s="31"/>
      <c r="D88" s="27"/>
      <c r="E88" s="28"/>
      <c r="F88" s="34" t="str">
        <f t="shared" si="5"/>
        <v/>
      </c>
    </row>
    <row r="89" spans="1:25" ht="38.25" x14ac:dyDescent="0.25">
      <c r="A89" s="60"/>
      <c r="B89" s="2" t="s">
        <v>99</v>
      </c>
      <c r="C89" s="225">
        <f>+O82</f>
        <v>77.873164000000003</v>
      </c>
      <c r="D89" s="226" t="s">
        <v>23</v>
      </c>
      <c r="E89" s="28"/>
      <c r="F89" s="34">
        <f t="shared" si="5"/>
        <v>0</v>
      </c>
    </row>
    <row r="90" spans="1:25" x14ac:dyDescent="0.25">
      <c r="A90" s="60"/>
      <c r="B90" s="90"/>
      <c r="C90" s="31"/>
      <c r="D90" s="27"/>
      <c r="E90" s="17"/>
      <c r="F90" s="34" t="str">
        <f t="shared" ref="F90:F100" si="6">IF(E90="",IF(C90="","",C90*E90),C90*E90)</f>
        <v/>
      </c>
    </row>
    <row r="91" spans="1:25" x14ac:dyDescent="0.25">
      <c r="A91" s="86"/>
      <c r="B91" s="227" t="str">
        <f>CONCATENATE("Column ",H93)</f>
        <v>Column C2</v>
      </c>
      <c r="C91" s="31"/>
      <c r="D91" s="27"/>
      <c r="E91" s="17"/>
      <c r="F91" s="34" t="str">
        <f t="shared" si="6"/>
        <v/>
      </c>
      <c r="H91" s="12"/>
      <c r="I91" t="s">
        <v>122</v>
      </c>
      <c r="P91" t="s">
        <v>198</v>
      </c>
    </row>
    <row r="92" spans="1:25" ht="15.75" x14ac:dyDescent="0.25">
      <c r="A92" s="60"/>
      <c r="B92" s="2" t="s">
        <v>123</v>
      </c>
      <c r="C92" s="31">
        <f>+N93</f>
        <v>2.4404000000000003</v>
      </c>
      <c r="D92" s="27" t="s">
        <v>83</v>
      </c>
      <c r="E92" s="28"/>
      <c r="F92" s="34">
        <f t="shared" si="6"/>
        <v>0</v>
      </c>
      <c r="H92" s="12"/>
      <c r="I92" s="12" t="s">
        <v>10</v>
      </c>
      <c r="J92" s="12" t="s">
        <v>199</v>
      </c>
      <c r="K92" s="12" t="s">
        <v>200</v>
      </c>
      <c r="L92" s="12" t="s">
        <v>27</v>
      </c>
      <c r="M92" s="12" t="s">
        <v>21</v>
      </c>
      <c r="N92" s="12" t="s">
        <v>201</v>
      </c>
      <c r="O92" t="s">
        <v>202</v>
      </c>
      <c r="P92" t="s">
        <v>203</v>
      </c>
      <c r="Q92" s="223" t="s">
        <v>10</v>
      </c>
      <c r="R92" s="224" t="s">
        <v>204</v>
      </c>
      <c r="S92" s="224" t="s">
        <v>205</v>
      </c>
      <c r="T92" s="224" t="s">
        <v>206</v>
      </c>
      <c r="U92" s="224" t="s">
        <v>207</v>
      </c>
      <c r="V92" s="224" t="s">
        <v>208</v>
      </c>
      <c r="W92" s="224" t="s">
        <v>209</v>
      </c>
      <c r="X92" s="224" t="s">
        <v>210</v>
      </c>
      <c r="Y92" s="224" t="s">
        <v>205</v>
      </c>
    </row>
    <row r="93" spans="1:25" x14ac:dyDescent="0.25">
      <c r="A93" s="86"/>
      <c r="B93" s="36" t="s">
        <v>0</v>
      </c>
      <c r="C93" s="31"/>
      <c r="D93" s="27"/>
      <c r="E93" s="28"/>
      <c r="F93" s="34" t="str">
        <f t="shared" si="6"/>
        <v/>
      </c>
      <c r="H93" s="12" t="s">
        <v>240</v>
      </c>
      <c r="I93" s="223">
        <v>4</v>
      </c>
      <c r="J93" s="223">
        <v>6.101</v>
      </c>
      <c r="K93" s="223"/>
      <c r="L93" s="223"/>
      <c r="M93">
        <v>0.1</v>
      </c>
      <c r="N93">
        <f>M93*J93*I93</f>
        <v>2.4404000000000003</v>
      </c>
      <c r="O93">
        <f>1.231*J93*I93</f>
        <v>30.041324000000003</v>
      </c>
      <c r="P93" s="223">
        <v>16</v>
      </c>
      <c r="Q93" s="223">
        <v>4</v>
      </c>
      <c r="R93">
        <f>(J93+0.2)*Q93*I93</f>
        <v>100.816</v>
      </c>
      <c r="S93">
        <f>(R93*(P93*P93))/162</f>
        <v>159.31417283950617</v>
      </c>
      <c r="U93" s="223">
        <v>1</v>
      </c>
      <c r="V93" s="223">
        <v>0.15</v>
      </c>
      <c r="W93">
        <f>(J93*I93*U93)/V93</f>
        <v>162.69333333333333</v>
      </c>
      <c r="X93">
        <f>0.898*W93</f>
        <v>146.09861333333333</v>
      </c>
      <c r="Y93">
        <f>((6*6)*X93)/162</f>
        <v>32.466358518518518</v>
      </c>
    </row>
    <row r="94" spans="1:25" x14ac:dyDescent="0.25">
      <c r="A94" s="60"/>
      <c r="B94" s="90" t="s">
        <v>125</v>
      </c>
      <c r="C94" s="31">
        <f>+Y93</f>
        <v>32.466358518518518</v>
      </c>
      <c r="D94" s="27" t="s">
        <v>212</v>
      </c>
      <c r="E94" s="28"/>
      <c r="F94" s="34">
        <f t="shared" si="6"/>
        <v>0</v>
      </c>
      <c r="H94" s="12" t="s">
        <v>211</v>
      </c>
      <c r="I94" s="223"/>
      <c r="J94" s="223">
        <v>3.85</v>
      </c>
      <c r="K94" s="223">
        <v>0.2</v>
      </c>
      <c r="L94" s="223">
        <v>0.2</v>
      </c>
      <c r="M94">
        <f>L94*K94</f>
        <v>4.0000000000000008E-2</v>
      </c>
      <c r="N94">
        <f>M94*J94*I94</f>
        <v>0</v>
      </c>
      <c r="O94">
        <f>(((J94*K94)+(J94*L94))*2)*I94</f>
        <v>0</v>
      </c>
      <c r="P94" s="223">
        <v>12</v>
      </c>
      <c r="Q94" s="223">
        <v>4</v>
      </c>
      <c r="R94">
        <f>(J94+0.2)*Q94*I94</f>
        <v>0</v>
      </c>
      <c r="S94">
        <f>(R94*(P94*P94))/162</f>
        <v>0</v>
      </c>
      <c r="U94" s="223">
        <v>1</v>
      </c>
      <c r="V94" s="223">
        <v>0.15</v>
      </c>
      <c r="W94">
        <f>(J94*I94*U94)/V94</f>
        <v>0</v>
      </c>
      <c r="X94">
        <f>(((K94-0.045)+(L94-0.045))*2)*W94</f>
        <v>0</v>
      </c>
      <c r="Y94">
        <f>((6*6)*X94)/162</f>
        <v>0</v>
      </c>
    </row>
    <row r="95" spans="1:25" x14ac:dyDescent="0.25">
      <c r="A95" s="60"/>
      <c r="B95" s="90" t="str">
        <f>CONCATENATE("Steel deformed bars, ",P93," mm dia")</f>
        <v>Steel deformed bars, 16 mm dia</v>
      </c>
      <c r="C95" s="31">
        <f>+S93</f>
        <v>159.31417283950617</v>
      </c>
      <c r="D95" s="27" t="s">
        <v>212</v>
      </c>
      <c r="E95" s="28"/>
      <c r="F95" s="34">
        <f t="shared" si="6"/>
        <v>0</v>
      </c>
    </row>
    <row r="96" spans="1:25" x14ac:dyDescent="0.25">
      <c r="A96" s="60"/>
      <c r="B96" s="90" t="str">
        <f>IF(I94="","",CONCATENATE("Steel deformed bars, ",P94," mm dia"))</f>
        <v/>
      </c>
      <c r="C96" s="31" t="str">
        <f>IF(I94="","",S94)</f>
        <v/>
      </c>
      <c r="D96" s="27" t="str">
        <f>IF(I94="","","kg")</f>
        <v/>
      </c>
      <c r="E96" s="28"/>
      <c r="F96" s="34" t="str">
        <f t="shared" si="6"/>
        <v/>
      </c>
    </row>
    <row r="97" spans="1:25" x14ac:dyDescent="0.25">
      <c r="A97" s="60"/>
      <c r="B97" s="90" t="s">
        <v>98</v>
      </c>
      <c r="C97" s="31">
        <v>1</v>
      </c>
      <c r="D97" s="27" t="s">
        <v>124</v>
      </c>
      <c r="E97" s="28"/>
      <c r="F97" s="34">
        <f t="shared" si="6"/>
        <v>0</v>
      </c>
    </row>
    <row r="98" spans="1:25" x14ac:dyDescent="0.25">
      <c r="A98" s="60"/>
      <c r="B98" s="90"/>
      <c r="C98" s="31"/>
      <c r="D98" s="27"/>
      <c r="E98" s="28"/>
      <c r="F98" s="34" t="str">
        <f t="shared" si="6"/>
        <v/>
      </c>
    </row>
    <row r="99" spans="1:25" x14ac:dyDescent="0.25">
      <c r="A99" s="60"/>
      <c r="B99" s="88" t="s">
        <v>1</v>
      </c>
      <c r="C99" s="31"/>
      <c r="D99" s="27"/>
      <c r="E99" s="28"/>
      <c r="F99" s="34" t="str">
        <f t="shared" si="6"/>
        <v/>
      </c>
    </row>
    <row r="100" spans="1:25" ht="38.25" x14ac:dyDescent="0.25">
      <c r="A100" s="60"/>
      <c r="B100" s="2" t="s">
        <v>99</v>
      </c>
      <c r="C100" s="225">
        <f>+O93</f>
        <v>30.041324000000003</v>
      </c>
      <c r="D100" s="226" t="s">
        <v>23</v>
      </c>
      <c r="E100" s="28"/>
      <c r="F100" s="34">
        <f t="shared" si="6"/>
        <v>0</v>
      </c>
    </row>
    <row r="101" spans="1:25" x14ac:dyDescent="0.25">
      <c r="A101" s="60"/>
      <c r="B101" s="90"/>
      <c r="C101" s="31"/>
      <c r="D101" s="27"/>
      <c r="E101" s="17"/>
      <c r="F101" s="34" t="str">
        <f t="shared" ref="F101:F111" si="7">IF(E101="",IF(C101="","",C101*E101),C101*E101)</f>
        <v/>
      </c>
    </row>
    <row r="102" spans="1:25" x14ac:dyDescent="0.25">
      <c r="A102" s="86"/>
      <c r="B102" s="227" t="str">
        <f>CONCATENATE("Column ",H104)</f>
        <v>Column C2a</v>
      </c>
      <c r="C102" s="31"/>
      <c r="D102" s="27"/>
      <c r="E102" s="17"/>
      <c r="F102" s="34" t="str">
        <f t="shared" si="7"/>
        <v/>
      </c>
      <c r="H102" s="12"/>
      <c r="I102" t="s">
        <v>122</v>
      </c>
      <c r="P102" t="s">
        <v>198</v>
      </c>
    </row>
    <row r="103" spans="1:25" ht="15.75" x14ac:dyDescent="0.25">
      <c r="A103" s="60"/>
      <c r="B103" s="2" t="s">
        <v>123</v>
      </c>
      <c r="C103" s="31">
        <f>+N104</f>
        <v>9.0782880000000006</v>
      </c>
      <c r="D103" s="27" t="s">
        <v>83</v>
      </c>
      <c r="E103" s="28"/>
      <c r="F103" s="34">
        <f t="shared" si="7"/>
        <v>0</v>
      </c>
      <c r="H103" s="12"/>
      <c r="I103" s="12" t="s">
        <v>10</v>
      </c>
      <c r="J103" s="12" t="s">
        <v>199</v>
      </c>
      <c r="K103" s="12" t="s">
        <v>200</v>
      </c>
      <c r="L103" s="12" t="s">
        <v>27</v>
      </c>
      <c r="M103" s="12" t="s">
        <v>21</v>
      </c>
      <c r="N103" s="12" t="s">
        <v>201</v>
      </c>
      <c r="O103" t="s">
        <v>202</v>
      </c>
      <c r="P103" t="s">
        <v>203</v>
      </c>
      <c r="Q103" s="223" t="s">
        <v>10</v>
      </c>
      <c r="R103" s="224" t="s">
        <v>204</v>
      </c>
      <c r="S103" s="224" t="s">
        <v>205</v>
      </c>
      <c r="T103" s="224" t="s">
        <v>206</v>
      </c>
      <c r="U103" s="224" t="s">
        <v>207</v>
      </c>
      <c r="V103" s="224" t="s">
        <v>208</v>
      </c>
      <c r="W103" s="224" t="s">
        <v>209</v>
      </c>
      <c r="X103" s="224" t="s">
        <v>210</v>
      </c>
      <c r="Y103" s="224" t="s">
        <v>205</v>
      </c>
    </row>
    <row r="104" spans="1:25" x14ac:dyDescent="0.25">
      <c r="A104" s="86"/>
      <c r="B104" s="36" t="s">
        <v>0</v>
      </c>
      <c r="C104" s="31"/>
      <c r="D104" s="27"/>
      <c r="E104" s="28"/>
      <c r="F104" s="34" t="str">
        <f t="shared" si="7"/>
        <v/>
      </c>
      <c r="H104" s="12" t="s">
        <v>241</v>
      </c>
      <c r="I104" s="223">
        <v>4</v>
      </c>
      <c r="J104" s="223">
        <v>6.101</v>
      </c>
      <c r="K104" s="223"/>
      <c r="L104" s="223"/>
      <c r="M104">
        <v>0.372</v>
      </c>
      <c r="N104">
        <f>M104*J104*I104</f>
        <v>9.0782880000000006</v>
      </c>
      <c r="O104">
        <f>3.191*J104*I104</f>
        <v>77.873164000000003</v>
      </c>
      <c r="P104" s="223">
        <v>20</v>
      </c>
      <c r="Q104" s="223">
        <v>4</v>
      </c>
      <c r="R104">
        <f>(J104+0.2)*Q104*I104</f>
        <v>100.816</v>
      </c>
      <c r="S104">
        <f>(R104*(P104*P104))/162</f>
        <v>248.92839506172839</v>
      </c>
      <c r="U104" s="223">
        <v>1</v>
      </c>
      <c r="V104" s="223">
        <v>0.15</v>
      </c>
      <c r="W104">
        <f>(J104*I104*U104)/V104</f>
        <v>162.69333333333333</v>
      </c>
      <c r="X104">
        <f>0.898*W104</f>
        <v>146.09861333333333</v>
      </c>
      <c r="Y104">
        <f>((6*6)*X104)/162</f>
        <v>32.466358518518518</v>
      </c>
    </row>
    <row r="105" spans="1:25" x14ac:dyDescent="0.25">
      <c r="A105" s="60"/>
      <c r="B105" s="90" t="s">
        <v>125</v>
      </c>
      <c r="C105" s="31">
        <f>+Y104</f>
        <v>32.466358518518518</v>
      </c>
      <c r="D105" s="27" t="s">
        <v>212</v>
      </c>
      <c r="E105" s="28"/>
      <c r="F105" s="34">
        <f t="shared" si="7"/>
        <v>0</v>
      </c>
      <c r="H105" s="12" t="s">
        <v>211</v>
      </c>
      <c r="I105" s="223"/>
      <c r="J105" s="223">
        <v>3.85</v>
      </c>
      <c r="K105" s="223">
        <v>0.2</v>
      </c>
      <c r="L105" s="223">
        <v>0.2</v>
      </c>
      <c r="M105">
        <f>L105*K105</f>
        <v>4.0000000000000008E-2</v>
      </c>
      <c r="N105">
        <f>M105*J105*I105</f>
        <v>0</v>
      </c>
      <c r="O105">
        <f>(((J105*K105)+(J105*L105))*2)*I105</f>
        <v>0</v>
      </c>
      <c r="P105" s="223">
        <v>12</v>
      </c>
      <c r="Q105" s="223">
        <v>4</v>
      </c>
      <c r="R105">
        <f>(J105+0.2)*Q105*I105</f>
        <v>0</v>
      </c>
      <c r="S105">
        <f>(R105*(P105*P105))/162</f>
        <v>0</v>
      </c>
      <c r="U105" s="223">
        <v>1</v>
      </c>
      <c r="V105" s="223">
        <v>0.15</v>
      </c>
      <c r="W105">
        <f>(J105*I105*U105)/V105</f>
        <v>0</v>
      </c>
      <c r="X105">
        <f>(((K105-0.045)+(L105-0.045))*2)*W105</f>
        <v>0</v>
      </c>
      <c r="Y105">
        <f>((6*6)*X105)/162</f>
        <v>0</v>
      </c>
    </row>
    <row r="106" spans="1:25" x14ac:dyDescent="0.25">
      <c r="A106" s="60"/>
      <c r="B106" s="90" t="str">
        <f>CONCATENATE("Steel deformed bars, ",P104," mm dia")</f>
        <v>Steel deformed bars, 20 mm dia</v>
      </c>
      <c r="C106" s="31">
        <f>+S104</f>
        <v>248.92839506172839</v>
      </c>
      <c r="D106" s="27" t="s">
        <v>212</v>
      </c>
      <c r="E106" s="28"/>
      <c r="F106" s="34">
        <f t="shared" si="7"/>
        <v>0</v>
      </c>
    </row>
    <row r="107" spans="1:25" x14ac:dyDescent="0.25">
      <c r="A107" s="60"/>
      <c r="B107" s="90" t="str">
        <f>IF(I105="","",CONCATENATE("Steel deformed bars, ",P105," mm dia"))</f>
        <v/>
      </c>
      <c r="C107" s="31" t="str">
        <f>IF(I105="","",S105)</f>
        <v/>
      </c>
      <c r="D107" s="27" t="str">
        <f>IF(I105="","","kg")</f>
        <v/>
      </c>
      <c r="E107" s="28"/>
      <c r="F107" s="34" t="str">
        <f t="shared" si="7"/>
        <v/>
      </c>
    </row>
    <row r="108" spans="1:25" x14ac:dyDescent="0.25">
      <c r="A108" s="60"/>
      <c r="B108" s="90" t="s">
        <v>98</v>
      </c>
      <c r="C108" s="31">
        <v>1</v>
      </c>
      <c r="D108" s="27" t="s">
        <v>124</v>
      </c>
      <c r="E108" s="28"/>
      <c r="F108" s="34">
        <f t="shared" si="7"/>
        <v>0</v>
      </c>
    </row>
    <row r="109" spans="1:25" x14ac:dyDescent="0.25">
      <c r="A109" s="60"/>
      <c r="B109" s="90"/>
      <c r="C109" s="31"/>
      <c r="D109" s="27"/>
      <c r="E109" s="28"/>
      <c r="F109" s="34" t="str">
        <f t="shared" si="7"/>
        <v/>
      </c>
    </row>
    <row r="110" spans="1:25" x14ac:dyDescent="0.25">
      <c r="A110" s="60"/>
      <c r="B110" s="88" t="s">
        <v>1</v>
      </c>
      <c r="C110" s="31"/>
      <c r="D110" s="27"/>
      <c r="E110" s="28"/>
      <c r="F110" s="34" t="str">
        <f t="shared" si="7"/>
        <v/>
      </c>
    </row>
    <row r="111" spans="1:25" ht="38.25" x14ac:dyDescent="0.25">
      <c r="A111" s="60"/>
      <c r="B111" s="2" t="s">
        <v>99</v>
      </c>
      <c r="C111" s="225">
        <f>+O104</f>
        <v>77.873164000000003</v>
      </c>
      <c r="D111" s="226" t="s">
        <v>23</v>
      </c>
      <c r="E111" s="28"/>
      <c r="F111" s="34">
        <f t="shared" si="7"/>
        <v>0</v>
      </c>
    </row>
    <row r="112" spans="1:25" x14ac:dyDescent="0.25">
      <c r="A112" s="60"/>
      <c r="B112" s="90"/>
      <c r="C112" s="31"/>
      <c r="D112" s="27"/>
      <c r="E112" s="17"/>
      <c r="F112" s="34" t="str">
        <f t="shared" ref="F112:F122" si="8">IF(E112="",IF(C112="","",C112*E112),C112*E112)</f>
        <v/>
      </c>
    </row>
    <row r="113" spans="1:25" x14ac:dyDescent="0.25">
      <c r="A113" s="86"/>
      <c r="B113" s="227" t="str">
        <f>CONCATENATE("Column ",H115)</f>
        <v>Column C3</v>
      </c>
      <c r="C113" s="31"/>
      <c r="D113" s="27"/>
      <c r="E113" s="17"/>
      <c r="F113" s="34" t="str">
        <f t="shared" si="8"/>
        <v/>
      </c>
      <c r="H113" s="12"/>
      <c r="I113" t="s">
        <v>122</v>
      </c>
      <c r="P113" t="s">
        <v>198</v>
      </c>
    </row>
    <row r="114" spans="1:25" ht="15.75" x14ac:dyDescent="0.25">
      <c r="A114" s="60"/>
      <c r="B114" s="2" t="s">
        <v>123</v>
      </c>
      <c r="C114" s="31">
        <f>+N115</f>
        <v>2.4404000000000003</v>
      </c>
      <c r="D114" s="27" t="s">
        <v>83</v>
      </c>
      <c r="E114" s="28"/>
      <c r="F114" s="34">
        <f t="shared" si="8"/>
        <v>0</v>
      </c>
      <c r="H114" s="12"/>
      <c r="I114" s="12" t="s">
        <v>10</v>
      </c>
      <c r="J114" s="12" t="s">
        <v>199</v>
      </c>
      <c r="K114" s="12" t="s">
        <v>200</v>
      </c>
      <c r="L114" s="12" t="s">
        <v>27</v>
      </c>
      <c r="M114" s="12" t="s">
        <v>21</v>
      </c>
      <c r="N114" s="12" t="s">
        <v>201</v>
      </c>
      <c r="O114" t="s">
        <v>202</v>
      </c>
      <c r="P114" t="s">
        <v>203</v>
      </c>
      <c r="Q114" s="223" t="s">
        <v>10</v>
      </c>
      <c r="R114" s="224" t="s">
        <v>204</v>
      </c>
      <c r="S114" s="224" t="s">
        <v>205</v>
      </c>
      <c r="T114" s="224" t="s">
        <v>206</v>
      </c>
      <c r="U114" s="224" t="s">
        <v>207</v>
      </c>
      <c r="V114" s="224" t="s">
        <v>208</v>
      </c>
      <c r="W114" s="224" t="s">
        <v>209</v>
      </c>
      <c r="X114" s="224" t="s">
        <v>210</v>
      </c>
      <c r="Y114" s="224" t="s">
        <v>205</v>
      </c>
    </row>
    <row r="115" spans="1:25" x14ac:dyDescent="0.25">
      <c r="A115" s="86"/>
      <c r="B115" s="36" t="s">
        <v>0</v>
      </c>
      <c r="C115" s="31"/>
      <c r="D115" s="27"/>
      <c r="E115" s="28"/>
      <c r="F115" s="34" t="str">
        <f t="shared" si="8"/>
        <v/>
      </c>
      <c r="H115" s="12" t="s">
        <v>239</v>
      </c>
      <c r="I115" s="223">
        <v>4</v>
      </c>
      <c r="J115" s="223">
        <v>6.101</v>
      </c>
      <c r="K115" s="223"/>
      <c r="L115" s="223"/>
      <c r="M115">
        <v>0.1</v>
      </c>
      <c r="N115">
        <f>M115*J115*I115</f>
        <v>2.4404000000000003</v>
      </c>
      <c r="O115">
        <f>1.231*J115*I115</f>
        <v>30.041324000000003</v>
      </c>
      <c r="P115" s="223">
        <v>16</v>
      </c>
      <c r="Q115" s="223">
        <v>4</v>
      </c>
      <c r="R115">
        <f>(J115+0.2)*Q115*I115</f>
        <v>100.816</v>
      </c>
      <c r="S115">
        <f>(R115*(P115*P115))/162</f>
        <v>159.31417283950617</v>
      </c>
      <c r="U115" s="223">
        <v>1</v>
      </c>
      <c r="V115" s="223">
        <v>0.15</v>
      </c>
      <c r="W115">
        <f>(J115*I115*U115)/V115</f>
        <v>162.69333333333333</v>
      </c>
      <c r="X115">
        <f>0.898*W115</f>
        <v>146.09861333333333</v>
      </c>
      <c r="Y115">
        <f>((6*6)*X115)/162</f>
        <v>32.466358518518518</v>
      </c>
    </row>
    <row r="116" spans="1:25" x14ac:dyDescent="0.25">
      <c r="A116" s="60"/>
      <c r="B116" s="90" t="s">
        <v>125</v>
      </c>
      <c r="C116" s="31">
        <f>+Y115</f>
        <v>32.466358518518518</v>
      </c>
      <c r="D116" s="27" t="s">
        <v>212</v>
      </c>
      <c r="E116" s="28"/>
      <c r="F116" s="34">
        <f t="shared" si="8"/>
        <v>0</v>
      </c>
      <c r="H116" s="12" t="s">
        <v>211</v>
      </c>
      <c r="I116" s="223"/>
      <c r="J116" s="223">
        <v>3.85</v>
      </c>
      <c r="K116" s="223">
        <v>0.2</v>
      </c>
      <c r="L116" s="223">
        <v>0.2</v>
      </c>
      <c r="M116">
        <f>L116*K116</f>
        <v>4.0000000000000008E-2</v>
      </c>
      <c r="N116">
        <f>M116*J116*I116</f>
        <v>0</v>
      </c>
      <c r="O116">
        <f>(((J116*K116)+(J116*L116))*2)*I116</f>
        <v>0</v>
      </c>
      <c r="P116" s="223">
        <v>12</v>
      </c>
      <c r="Q116" s="223">
        <v>4</v>
      </c>
      <c r="R116">
        <f>(J116+0.2)*Q116*I116</f>
        <v>0</v>
      </c>
      <c r="S116">
        <f>(R116*(P116*P116))/162</f>
        <v>0</v>
      </c>
      <c r="U116" s="223">
        <v>1</v>
      </c>
      <c r="V116" s="223">
        <v>0.15</v>
      </c>
      <c r="W116">
        <f>(J116*I116*U116)/V116</f>
        <v>0</v>
      </c>
      <c r="X116">
        <f>(((K116-0.045)+(L116-0.045))*2)*W116</f>
        <v>0</v>
      </c>
      <c r="Y116">
        <f>((6*6)*X116)/162</f>
        <v>0</v>
      </c>
    </row>
    <row r="117" spans="1:25" x14ac:dyDescent="0.25">
      <c r="A117" s="60"/>
      <c r="B117" s="90" t="str">
        <f>CONCATENATE("Steel deformed bars, ",P115," mm dia")</f>
        <v>Steel deformed bars, 16 mm dia</v>
      </c>
      <c r="C117" s="31">
        <f>+S115</f>
        <v>159.31417283950617</v>
      </c>
      <c r="D117" s="27" t="s">
        <v>212</v>
      </c>
      <c r="E117" s="28"/>
      <c r="F117" s="34">
        <f t="shared" si="8"/>
        <v>0</v>
      </c>
    </row>
    <row r="118" spans="1:25" x14ac:dyDescent="0.25">
      <c r="A118" s="60"/>
      <c r="B118" s="90" t="str">
        <f>IF(I116="","",CONCATENATE("Steel deformed bars, ",P116," mm dia"))</f>
        <v/>
      </c>
      <c r="C118" s="31" t="str">
        <f>IF(I116="","",S116)</f>
        <v/>
      </c>
      <c r="D118" s="27" t="str">
        <f>IF(I116="","","kg")</f>
        <v/>
      </c>
      <c r="E118" s="28"/>
      <c r="F118" s="34" t="str">
        <f t="shared" si="8"/>
        <v/>
      </c>
    </row>
    <row r="119" spans="1:25" x14ac:dyDescent="0.25">
      <c r="A119" s="60"/>
      <c r="B119" s="90" t="s">
        <v>98</v>
      </c>
      <c r="C119" s="31">
        <v>1</v>
      </c>
      <c r="D119" s="27" t="s">
        <v>124</v>
      </c>
      <c r="E119" s="28"/>
      <c r="F119" s="34">
        <f t="shared" si="8"/>
        <v>0</v>
      </c>
    </row>
    <row r="120" spans="1:25" x14ac:dyDescent="0.25">
      <c r="A120" s="60"/>
      <c r="B120" s="90"/>
      <c r="C120" s="31"/>
      <c r="D120" s="27"/>
      <c r="E120" s="28"/>
      <c r="F120" s="34" t="str">
        <f t="shared" si="8"/>
        <v/>
      </c>
    </row>
    <row r="121" spans="1:25" x14ac:dyDescent="0.25">
      <c r="A121" s="60"/>
      <c r="B121" s="88" t="s">
        <v>1</v>
      </c>
      <c r="C121" s="31"/>
      <c r="D121" s="27"/>
      <c r="E121" s="28"/>
      <c r="F121" s="34" t="str">
        <f t="shared" si="8"/>
        <v/>
      </c>
    </row>
    <row r="122" spans="1:25" ht="38.25" x14ac:dyDescent="0.25">
      <c r="A122" s="60"/>
      <c r="B122" s="2" t="s">
        <v>99</v>
      </c>
      <c r="C122" s="225">
        <f>+O115</f>
        <v>30.041324000000003</v>
      </c>
      <c r="D122" s="226" t="s">
        <v>23</v>
      </c>
      <c r="E122" s="28"/>
      <c r="F122" s="34">
        <f t="shared" si="8"/>
        <v>0</v>
      </c>
    </row>
    <row r="123" spans="1:25" x14ac:dyDescent="0.25">
      <c r="A123" s="60"/>
      <c r="B123" s="90"/>
      <c r="C123" s="31"/>
      <c r="D123" s="27"/>
      <c r="E123" s="17"/>
      <c r="F123" s="34" t="str">
        <f t="shared" ref="F123:F140" si="9">IF(E123="",IF(C123="","",C123*E123),C123*E123)</f>
        <v/>
      </c>
    </row>
    <row r="124" spans="1:25" x14ac:dyDescent="0.25">
      <c r="A124" s="86"/>
      <c r="B124" s="227" t="str">
        <f>CONCATENATE("Column ",H126)</f>
        <v>Column C3a</v>
      </c>
      <c r="C124" s="31"/>
      <c r="D124" s="27"/>
      <c r="E124" s="17"/>
      <c r="F124" s="34" t="str">
        <f t="shared" si="9"/>
        <v/>
      </c>
      <c r="H124" s="12"/>
      <c r="I124" t="s">
        <v>122</v>
      </c>
      <c r="P124" t="s">
        <v>198</v>
      </c>
    </row>
    <row r="125" spans="1:25" ht="15.75" x14ac:dyDescent="0.25">
      <c r="A125" s="60"/>
      <c r="B125" s="2" t="s">
        <v>123</v>
      </c>
      <c r="C125" s="31">
        <f>+N126</f>
        <v>9.0782880000000006</v>
      </c>
      <c r="D125" s="27" t="s">
        <v>83</v>
      </c>
      <c r="E125" s="28"/>
      <c r="F125" s="34">
        <f t="shared" si="9"/>
        <v>0</v>
      </c>
      <c r="H125" s="12"/>
      <c r="I125" s="12" t="s">
        <v>10</v>
      </c>
      <c r="J125" s="12" t="s">
        <v>199</v>
      </c>
      <c r="K125" s="12" t="s">
        <v>200</v>
      </c>
      <c r="L125" s="12" t="s">
        <v>27</v>
      </c>
      <c r="M125" s="12" t="s">
        <v>21</v>
      </c>
      <c r="N125" s="12" t="s">
        <v>201</v>
      </c>
      <c r="O125" t="s">
        <v>202</v>
      </c>
      <c r="P125" t="s">
        <v>203</v>
      </c>
      <c r="Q125" s="223" t="s">
        <v>10</v>
      </c>
      <c r="R125" s="224" t="s">
        <v>204</v>
      </c>
      <c r="S125" s="224" t="s">
        <v>205</v>
      </c>
      <c r="T125" s="224" t="s">
        <v>206</v>
      </c>
      <c r="U125" s="224" t="s">
        <v>207</v>
      </c>
      <c r="V125" s="224" t="s">
        <v>208</v>
      </c>
      <c r="W125" s="224" t="s">
        <v>209</v>
      </c>
      <c r="X125" s="224" t="s">
        <v>210</v>
      </c>
      <c r="Y125" s="224" t="s">
        <v>205</v>
      </c>
    </row>
    <row r="126" spans="1:25" x14ac:dyDescent="0.25">
      <c r="A126" s="86"/>
      <c r="B126" s="36" t="s">
        <v>0</v>
      </c>
      <c r="C126" s="31"/>
      <c r="D126" s="27"/>
      <c r="E126" s="28"/>
      <c r="F126" s="34" t="str">
        <f t="shared" si="9"/>
        <v/>
      </c>
      <c r="H126" s="12" t="s">
        <v>238</v>
      </c>
      <c r="I126" s="223">
        <v>4</v>
      </c>
      <c r="J126" s="223">
        <v>6.101</v>
      </c>
      <c r="K126" s="223"/>
      <c r="L126" s="223"/>
      <c r="M126">
        <v>0.372</v>
      </c>
      <c r="N126">
        <f>M126*J126*I126</f>
        <v>9.0782880000000006</v>
      </c>
      <c r="O126">
        <f>3.191*J126*I126</f>
        <v>77.873164000000003</v>
      </c>
      <c r="P126" s="223">
        <v>20</v>
      </c>
      <c r="Q126" s="223">
        <v>4</v>
      </c>
      <c r="R126">
        <f>(J126+0.2)*Q126*I126</f>
        <v>100.816</v>
      </c>
      <c r="S126">
        <f>(R126*(P126*P126))/162</f>
        <v>248.92839506172839</v>
      </c>
      <c r="U126" s="223">
        <v>1</v>
      </c>
      <c r="V126" s="223">
        <v>0.15</v>
      </c>
      <c r="W126">
        <f>(J126*I126*U126)/V126</f>
        <v>162.69333333333333</v>
      </c>
      <c r="X126">
        <f>0.898*W126</f>
        <v>146.09861333333333</v>
      </c>
      <c r="Y126">
        <f>((6*6)*X126)/162</f>
        <v>32.466358518518518</v>
      </c>
    </row>
    <row r="127" spans="1:25" x14ac:dyDescent="0.25">
      <c r="A127" s="60"/>
      <c r="B127" s="90" t="s">
        <v>125</v>
      </c>
      <c r="C127" s="31">
        <f>+Y126</f>
        <v>32.466358518518518</v>
      </c>
      <c r="D127" s="27" t="s">
        <v>212</v>
      </c>
      <c r="E127" s="28"/>
      <c r="F127" s="34">
        <f t="shared" si="9"/>
        <v>0</v>
      </c>
      <c r="H127" s="12" t="s">
        <v>211</v>
      </c>
      <c r="I127" s="223"/>
      <c r="J127" s="223">
        <v>3.85</v>
      </c>
      <c r="K127" s="223">
        <v>0.2</v>
      </c>
      <c r="L127" s="223">
        <v>0.2</v>
      </c>
      <c r="M127">
        <f>L127*K127</f>
        <v>4.0000000000000008E-2</v>
      </c>
      <c r="N127">
        <f>M127*J127*I127</f>
        <v>0</v>
      </c>
      <c r="O127">
        <f>(((J127*K127)+(J127*L127))*2)*I127</f>
        <v>0</v>
      </c>
      <c r="P127" s="223">
        <v>12</v>
      </c>
      <c r="Q127" s="223">
        <v>4</v>
      </c>
      <c r="R127">
        <f>(J127+0.2)*Q127*I127</f>
        <v>0</v>
      </c>
      <c r="S127">
        <f>(R127*(P127*P127))/162</f>
        <v>0</v>
      </c>
      <c r="U127" s="223">
        <v>1</v>
      </c>
      <c r="V127" s="223">
        <v>0.15</v>
      </c>
      <c r="W127">
        <f>(J127*I127*U127)/V127</f>
        <v>0</v>
      </c>
      <c r="X127">
        <f>(((K127-0.045)+(L127-0.045))*2)*W127</f>
        <v>0</v>
      </c>
      <c r="Y127">
        <f>((6*6)*X127)/162</f>
        <v>0</v>
      </c>
    </row>
    <row r="128" spans="1:25" x14ac:dyDescent="0.25">
      <c r="A128" s="60"/>
      <c r="B128" s="90" t="str">
        <f>CONCATENATE("Steel deformed bars, ",P126," mm dia")</f>
        <v>Steel deformed bars, 20 mm dia</v>
      </c>
      <c r="C128" s="31">
        <f>+S126</f>
        <v>248.92839506172839</v>
      </c>
      <c r="D128" s="27" t="s">
        <v>212</v>
      </c>
      <c r="E128" s="28"/>
      <c r="F128" s="34">
        <f t="shared" si="9"/>
        <v>0</v>
      </c>
    </row>
    <row r="129" spans="1:15" x14ac:dyDescent="0.25">
      <c r="A129" s="60"/>
      <c r="B129" s="90" t="str">
        <f>IF(I127="","",CONCATENATE("Steel deformed bars, ",P127," mm dia"))</f>
        <v/>
      </c>
      <c r="C129" s="31" t="str">
        <f>IF(I127="","",S127)</f>
        <v/>
      </c>
      <c r="D129" s="27" t="str">
        <f>IF(I127="","","kg")</f>
        <v/>
      </c>
      <c r="E129" s="28"/>
      <c r="F129" s="34" t="str">
        <f t="shared" si="9"/>
        <v/>
      </c>
    </row>
    <row r="130" spans="1:15" x14ac:dyDescent="0.25">
      <c r="A130" s="60"/>
      <c r="B130" s="90" t="s">
        <v>98</v>
      </c>
      <c r="C130" s="31">
        <v>1</v>
      </c>
      <c r="D130" s="27" t="s">
        <v>124</v>
      </c>
      <c r="E130" s="28"/>
      <c r="F130" s="34">
        <f t="shared" si="9"/>
        <v>0</v>
      </c>
    </row>
    <row r="131" spans="1:15" x14ac:dyDescent="0.25">
      <c r="A131" s="60"/>
      <c r="B131" s="90"/>
      <c r="C131" s="31"/>
      <c r="D131" s="27"/>
      <c r="E131" s="28"/>
      <c r="F131" s="34" t="str">
        <f t="shared" si="9"/>
        <v/>
      </c>
    </row>
    <row r="132" spans="1:15" x14ac:dyDescent="0.25">
      <c r="A132" s="60"/>
      <c r="B132" s="88" t="s">
        <v>1</v>
      </c>
      <c r="C132" s="31"/>
      <c r="D132" s="27"/>
      <c r="E132" s="28"/>
      <c r="F132" s="34" t="str">
        <f t="shared" si="9"/>
        <v/>
      </c>
    </row>
    <row r="133" spans="1:15" ht="38.25" x14ac:dyDescent="0.25">
      <c r="A133" s="60"/>
      <c r="B133" s="2" t="s">
        <v>99</v>
      </c>
      <c r="C133" s="225">
        <f>+O126</f>
        <v>77.873164000000003</v>
      </c>
      <c r="D133" s="226" t="s">
        <v>23</v>
      </c>
      <c r="E133" s="28"/>
      <c r="F133" s="34">
        <f t="shared" si="9"/>
        <v>0</v>
      </c>
    </row>
    <row r="134" spans="1:15" x14ac:dyDescent="0.25">
      <c r="A134" s="60"/>
      <c r="B134" s="90"/>
      <c r="C134" s="31"/>
      <c r="D134" s="27"/>
      <c r="E134" s="28"/>
      <c r="F134" s="34" t="str">
        <f t="shared" si="9"/>
        <v/>
      </c>
    </row>
    <row r="135" spans="1:15" x14ac:dyDescent="0.25">
      <c r="A135" s="86"/>
      <c r="B135" s="14" t="s">
        <v>263</v>
      </c>
      <c r="C135" s="27"/>
      <c r="D135" s="27"/>
      <c r="E135" s="28"/>
      <c r="F135" s="34" t="str">
        <f t="shared" si="9"/>
        <v/>
      </c>
      <c r="K135">
        <v>3.9249999999999998</v>
      </c>
      <c r="L135">
        <f>3.925/0.075</f>
        <v>52.333333333333336</v>
      </c>
      <c r="M135">
        <f>L135*K136</f>
        <v>73.266666666666666</v>
      </c>
      <c r="N135">
        <f>(M135+M136)*2</f>
        <v>293.06666666666666</v>
      </c>
      <c r="O135">
        <f>(N135*(10*10))/162</f>
        <v>180.9053497942387</v>
      </c>
    </row>
    <row r="136" spans="1:15" ht="15.75" x14ac:dyDescent="0.25">
      <c r="A136" s="60"/>
      <c r="B136" s="2" t="s">
        <v>122</v>
      </c>
      <c r="C136" s="31">
        <v>1.099</v>
      </c>
      <c r="D136" s="27" t="s">
        <v>83</v>
      </c>
      <c r="E136" s="28"/>
      <c r="F136" s="34">
        <f t="shared" si="9"/>
        <v>0</v>
      </c>
      <c r="K136">
        <v>1.4</v>
      </c>
      <c r="L136">
        <f>1.4/0.075</f>
        <v>18.666666666666668</v>
      </c>
      <c r="M136">
        <f>L136*K135</f>
        <v>73.266666666666666</v>
      </c>
    </row>
    <row r="137" spans="1:15" x14ac:dyDescent="0.25">
      <c r="A137" s="86"/>
      <c r="B137" s="36" t="s">
        <v>0</v>
      </c>
      <c r="C137" s="31"/>
      <c r="D137" s="27"/>
      <c r="E137" s="28"/>
      <c r="F137" s="34" t="str">
        <f t="shared" si="9"/>
        <v/>
      </c>
    </row>
    <row r="138" spans="1:15" x14ac:dyDescent="0.25">
      <c r="A138" s="60"/>
      <c r="B138" s="90" t="s">
        <v>235</v>
      </c>
      <c r="C138" s="31">
        <v>180.90530000000001</v>
      </c>
      <c r="D138" s="27" t="s">
        <v>157</v>
      </c>
      <c r="E138" s="28"/>
      <c r="F138" s="34">
        <f t="shared" si="9"/>
        <v>0</v>
      </c>
      <c r="K138">
        <f>3.925*1.4*0.2</f>
        <v>1.099</v>
      </c>
      <c r="M138">
        <f>1.4+1.4+0.2+0.2</f>
        <v>3.2</v>
      </c>
    </row>
    <row r="139" spans="1:15" x14ac:dyDescent="0.25">
      <c r="A139" s="60"/>
      <c r="B139" s="88" t="s">
        <v>1</v>
      </c>
      <c r="C139" s="27"/>
      <c r="D139" s="27"/>
      <c r="E139" s="28"/>
      <c r="F139" s="34" t="str">
        <f t="shared" si="9"/>
        <v/>
      </c>
      <c r="M139">
        <f>M138*3.925</f>
        <v>12.56</v>
      </c>
    </row>
    <row r="140" spans="1:15" ht="43.5" customHeight="1" x14ac:dyDescent="0.25">
      <c r="A140" s="60"/>
      <c r="B140" s="2" t="s">
        <v>99</v>
      </c>
      <c r="C140" s="31">
        <v>12.56</v>
      </c>
      <c r="D140" s="27" t="s">
        <v>23</v>
      </c>
      <c r="E140" s="28"/>
      <c r="F140" s="34">
        <f t="shared" si="9"/>
        <v>0</v>
      </c>
    </row>
    <row r="141" spans="1:15" x14ac:dyDescent="0.25">
      <c r="A141" s="60"/>
      <c r="B141" s="90"/>
      <c r="C141" s="31"/>
      <c r="D141" s="27"/>
      <c r="E141" s="28"/>
      <c r="F141" s="34" t="str">
        <f t="shared" ref="F141:F147" si="10">IF(E141="",IF(C141="","",C141*E141),C141*E141)</f>
        <v/>
      </c>
    </row>
    <row r="142" spans="1:15" x14ac:dyDescent="0.25">
      <c r="A142" s="86"/>
      <c r="B142" s="14" t="s">
        <v>263</v>
      </c>
      <c r="C142" s="27"/>
      <c r="D142" s="27"/>
      <c r="E142" s="28"/>
      <c r="F142" s="34" t="str">
        <f t="shared" si="10"/>
        <v/>
      </c>
      <c r="K142">
        <v>6</v>
      </c>
      <c r="L142">
        <f>6/0.2</f>
        <v>30</v>
      </c>
      <c r="M142">
        <f>L142*K143</f>
        <v>45</v>
      </c>
      <c r="N142">
        <f>(M142+M143)*2</f>
        <v>270</v>
      </c>
      <c r="O142">
        <f>(N142*(10*10))/162</f>
        <v>166.66666666666666</v>
      </c>
    </row>
    <row r="143" spans="1:15" ht="15.75" x14ac:dyDescent="0.25">
      <c r="A143" s="60"/>
      <c r="B143" s="2" t="s">
        <v>122</v>
      </c>
      <c r="C143" s="31">
        <f>6*1.5*0.24</f>
        <v>2.16</v>
      </c>
      <c r="D143" s="27" t="s">
        <v>83</v>
      </c>
      <c r="E143" s="28"/>
      <c r="F143" s="34">
        <f t="shared" si="10"/>
        <v>0</v>
      </c>
      <c r="K143">
        <v>1.5</v>
      </c>
      <c r="L143">
        <f>1.5/0.1</f>
        <v>15</v>
      </c>
      <c r="M143">
        <f>L143*K142</f>
        <v>90</v>
      </c>
    </row>
    <row r="144" spans="1:15" x14ac:dyDescent="0.25">
      <c r="A144" s="86"/>
      <c r="B144" s="36" t="s">
        <v>0</v>
      </c>
      <c r="C144" s="31"/>
      <c r="D144" s="27"/>
      <c r="E144" s="28"/>
      <c r="F144" s="34" t="str">
        <f t="shared" si="10"/>
        <v/>
      </c>
    </row>
    <row r="145" spans="1:25" x14ac:dyDescent="0.25">
      <c r="A145" s="60"/>
      <c r="B145" s="90" t="s">
        <v>235</v>
      </c>
      <c r="C145" s="31">
        <v>166.66669999999999</v>
      </c>
      <c r="D145" s="27" t="s">
        <v>157</v>
      </c>
      <c r="E145" s="28"/>
      <c r="F145" s="34">
        <f t="shared" si="10"/>
        <v>0</v>
      </c>
      <c r="K145">
        <f>3.925*1.4*0.2</f>
        <v>1.099</v>
      </c>
      <c r="M145">
        <f>1.4+1.4+0.2+0.2</f>
        <v>3.2</v>
      </c>
    </row>
    <row r="146" spans="1:25" x14ac:dyDescent="0.25">
      <c r="A146" s="60"/>
      <c r="B146" s="88" t="s">
        <v>1</v>
      </c>
      <c r="C146" s="27"/>
      <c r="D146" s="27"/>
      <c r="E146" s="28"/>
      <c r="F146" s="34" t="str">
        <f t="shared" si="10"/>
        <v/>
      </c>
      <c r="M146">
        <f>M145*3.925</f>
        <v>12.56</v>
      </c>
    </row>
    <row r="147" spans="1:25" ht="43.5" customHeight="1" x14ac:dyDescent="0.25">
      <c r="A147" s="60"/>
      <c r="B147" s="2" t="s">
        <v>99</v>
      </c>
      <c r="C147" s="31">
        <f>(6*1.5)+(6*0.24)</f>
        <v>10.44</v>
      </c>
      <c r="D147" s="27" t="s">
        <v>23</v>
      </c>
      <c r="E147" s="28"/>
      <c r="F147" s="34">
        <f t="shared" si="10"/>
        <v>0</v>
      </c>
    </row>
    <row r="148" spans="1:25" x14ac:dyDescent="0.25">
      <c r="A148" s="60"/>
      <c r="B148" s="2"/>
      <c r="C148" s="225"/>
      <c r="D148" s="226"/>
      <c r="E148" s="28"/>
      <c r="F148" s="34"/>
    </row>
    <row r="149" spans="1:25" ht="15.75" thickBot="1" x14ac:dyDescent="0.3">
      <c r="A149" s="199">
        <v>3.4</v>
      </c>
      <c r="B149" s="258" t="s">
        <v>245</v>
      </c>
      <c r="C149" s="259"/>
      <c r="D149" s="259"/>
      <c r="E149" s="259"/>
      <c r="F149" s="155">
        <f>SUM(F150:F263)</f>
        <v>0</v>
      </c>
      <c r="J149">
        <v>409.22</v>
      </c>
      <c r="K149">
        <f>J149*0.15</f>
        <v>61.383000000000003</v>
      </c>
    </row>
    <row r="150" spans="1:25" ht="15.75" thickTop="1" x14ac:dyDescent="0.25">
      <c r="A150" s="60"/>
      <c r="B150" s="2"/>
      <c r="C150" s="31"/>
      <c r="D150" s="27"/>
      <c r="E150" s="28"/>
      <c r="F150" s="34"/>
      <c r="J150">
        <f>J149/30</f>
        <v>13.640666666666668</v>
      </c>
    </row>
    <row r="151" spans="1:25" x14ac:dyDescent="0.25">
      <c r="A151" s="86"/>
      <c r="B151" s="14" t="s">
        <v>246</v>
      </c>
      <c r="C151" s="27"/>
      <c r="D151" s="27"/>
      <c r="E151" s="17"/>
      <c r="F151" s="34" t="str">
        <f t="shared" ref="F151:F220" si="11">IF(E151="",IF(C151="","",C151*E151),C151*E151)</f>
        <v/>
      </c>
      <c r="J151">
        <f>30000/150</f>
        <v>200</v>
      </c>
      <c r="K151">
        <f>J151*13.645</f>
        <v>2729</v>
      </c>
      <c r="L151">
        <f>J152*((13.743/5.2)*(40*0.01))</f>
        <v>96.165761538461538</v>
      </c>
      <c r="M151">
        <f>K151+K152+L151+L152+K152+L151</f>
        <v>8840.8699846153831</v>
      </c>
      <c r="N151">
        <f>M151*1</f>
        <v>8840.8699846153831</v>
      </c>
      <c r="O151">
        <f>(N151*(10*10))/162</f>
        <v>5457.3271509971501</v>
      </c>
    </row>
    <row r="152" spans="1:25" ht="15.75" x14ac:dyDescent="0.25">
      <c r="A152" s="60"/>
      <c r="B152" s="2" t="s">
        <v>122</v>
      </c>
      <c r="C152" s="31">
        <v>61.383000000000003</v>
      </c>
      <c r="D152" s="27" t="s">
        <v>83</v>
      </c>
      <c r="E152" s="17"/>
      <c r="F152" s="34">
        <f t="shared" si="11"/>
        <v>0</v>
      </c>
      <c r="J152">
        <f>13645/150</f>
        <v>90.966666666666669</v>
      </c>
      <c r="K152">
        <f>J152*30</f>
        <v>2729</v>
      </c>
      <c r="L152">
        <f>J151*((30/5.2)*(40*0.01))</f>
        <v>461.5384615384616</v>
      </c>
    </row>
    <row r="153" spans="1:25" x14ac:dyDescent="0.25">
      <c r="A153" s="86"/>
      <c r="B153" s="36" t="s">
        <v>0</v>
      </c>
      <c r="C153" s="31"/>
      <c r="D153" s="27"/>
      <c r="E153" s="17"/>
      <c r="F153" s="34" t="str">
        <f t="shared" si="11"/>
        <v/>
      </c>
    </row>
    <row r="154" spans="1:25" x14ac:dyDescent="0.25">
      <c r="A154" s="60"/>
      <c r="B154" s="90" t="s">
        <v>255</v>
      </c>
      <c r="C154" s="31">
        <v>5457.3270000000002</v>
      </c>
      <c r="D154" s="27" t="s">
        <v>157</v>
      </c>
      <c r="E154" s="17"/>
      <c r="F154" s="34">
        <f t="shared" si="11"/>
        <v>0</v>
      </c>
    </row>
    <row r="155" spans="1:25" x14ac:dyDescent="0.25">
      <c r="A155" s="60"/>
      <c r="B155" s="90"/>
      <c r="C155" s="31"/>
      <c r="D155" s="27"/>
      <c r="E155" s="17"/>
      <c r="F155" s="34" t="str">
        <f t="shared" si="11"/>
        <v/>
      </c>
    </row>
    <row r="156" spans="1:25" x14ac:dyDescent="0.25">
      <c r="A156" s="86"/>
      <c r="B156" s="227" t="str">
        <f>CONCATENATE("Column ",H158)</f>
        <v>Column C1</v>
      </c>
      <c r="C156" s="31"/>
      <c r="D156" s="27"/>
      <c r="E156" s="17"/>
      <c r="F156" s="34" t="str">
        <f t="shared" si="11"/>
        <v/>
      </c>
      <c r="H156" s="12"/>
      <c r="I156" t="s">
        <v>122</v>
      </c>
      <c r="P156" t="s">
        <v>198</v>
      </c>
    </row>
    <row r="157" spans="1:25" ht="15.75" x14ac:dyDescent="0.25">
      <c r="A157" s="60"/>
      <c r="B157" s="2" t="s">
        <v>123</v>
      </c>
      <c r="C157" s="31">
        <f>+N158</f>
        <v>6.4727999999999994</v>
      </c>
      <c r="D157" s="27" t="s">
        <v>83</v>
      </c>
      <c r="E157" s="28"/>
      <c r="F157" s="34">
        <f t="shared" si="11"/>
        <v>0</v>
      </c>
      <c r="H157" s="12"/>
      <c r="I157" s="12" t="s">
        <v>10</v>
      </c>
      <c r="J157" s="12" t="s">
        <v>199</v>
      </c>
      <c r="K157" s="12" t="s">
        <v>200</v>
      </c>
      <c r="L157" s="12" t="s">
        <v>27</v>
      </c>
      <c r="M157" s="12" t="s">
        <v>21</v>
      </c>
      <c r="N157" s="12" t="s">
        <v>201</v>
      </c>
      <c r="O157" t="s">
        <v>202</v>
      </c>
      <c r="P157" t="s">
        <v>203</v>
      </c>
      <c r="Q157" s="223" t="s">
        <v>10</v>
      </c>
      <c r="R157" s="224" t="s">
        <v>204</v>
      </c>
      <c r="S157" s="224" t="s">
        <v>205</v>
      </c>
      <c r="T157" s="224" t="s">
        <v>206</v>
      </c>
      <c r="U157" s="224" t="s">
        <v>207</v>
      </c>
      <c r="V157" s="224" t="s">
        <v>208</v>
      </c>
      <c r="W157" s="224" t="s">
        <v>209</v>
      </c>
      <c r="X157" s="224" t="s">
        <v>210</v>
      </c>
      <c r="Y157" s="224" t="s">
        <v>205</v>
      </c>
    </row>
    <row r="158" spans="1:25" x14ac:dyDescent="0.25">
      <c r="A158" s="86"/>
      <c r="B158" s="36" t="s">
        <v>0</v>
      </c>
      <c r="C158" s="31"/>
      <c r="D158" s="27"/>
      <c r="E158" s="28"/>
      <c r="F158" s="34" t="str">
        <f t="shared" si="11"/>
        <v/>
      </c>
      <c r="H158" s="12" t="s">
        <v>211</v>
      </c>
      <c r="I158" s="223">
        <v>4</v>
      </c>
      <c r="J158" s="223">
        <v>4.3499999999999996</v>
      </c>
      <c r="K158" s="223"/>
      <c r="L158" s="223"/>
      <c r="M158">
        <v>0.372</v>
      </c>
      <c r="N158">
        <f>M158*J158*I158</f>
        <v>6.4727999999999994</v>
      </c>
      <c r="O158">
        <f>3.191*J158*I158</f>
        <v>55.523399999999995</v>
      </c>
      <c r="P158" s="223">
        <v>16</v>
      </c>
      <c r="Q158" s="223">
        <v>12</v>
      </c>
      <c r="R158">
        <f>(J158+0.2)*Q158*I158</f>
        <v>218.39999999999998</v>
      </c>
      <c r="S158">
        <f>(R158*(P158*P158))/162</f>
        <v>345.12592592592591</v>
      </c>
      <c r="U158" s="223">
        <v>3</v>
      </c>
      <c r="V158" s="223">
        <v>0.15</v>
      </c>
      <c r="W158">
        <f>(J158*I158*U158)/V158</f>
        <v>348</v>
      </c>
      <c r="X158">
        <f>1.533*2*W158</f>
        <v>1066.9679999999998</v>
      </c>
      <c r="Y158">
        <f>((6*6)*X158)/162</f>
        <v>237.10399999999998</v>
      </c>
    </row>
    <row r="159" spans="1:25" x14ac:dyDescent="0.25">
      <c r="A159" s="60"/>
      <c r="B159" s="90" t="s">
        <v>125</v>
      </c>
      <c r="C159" s="31">
        <f>+Y158</f>
        <v>237.10399999999998</v>
      </c>
      <c r="D159" s="27" t="s">
        <v>212</v>
      </c>
      <c r="E159" s="28"/>
      <c r="F159" s="34">
        <f t="shared" si="11"/>
        <v>0</v>
      </c>
      <c r="H159" s="12" t="s">
        <v>211</v>
      </c>
      <c r="I159" s="223"/>
      <c r="J159" s="223">
        <v>3.85</v>
      </c>
      <c r="K159" s="223">
        <v>0.2</v>
      </c>
      <c r="L159" s="223">
        <v>0.2</v>
      </c>
      <c r="M159">
        <f>L159*K159</f>
        <v>4.0000000000000008E-2</v>
      </c>
      <c r="N159">
        <f>M159*J159*I159</f>
        <v>0</v>
      </c>
      <c r="O159">
        <f>(((J159*K159)+(J159*L159))*2)*I159</f>
        <v>0</v>
      </c>
      <c r="P159" s="223">
        <v>12</v>
      </c>
      <c r="Q159" s="223">
        <v>4</v>
      </c>
      <c r="R159">
        <f>(J159+0.2)*Q159*I159</f>
        <v>0</v>
      </c>
      <c r="S159">
        <f>(R159*(P159*P159))/162</f>
        <v>0</v>
      </c>
      <c r="U159" s="223">
        <v>1</v>
      </c>
      <c r="V159" s="223">
        <v>0.15</v>
      </c>
      <c r="W159">
        <f>(J159*I159*U159)/V159</f>
        <v>0</v>
      </c>
      <c r="X159">
        <f>(((K159-0.045)+(L159-0.045))*2)*W159</f>
        <v>0</v>
      </c>
      <c r="Y159">
        <f>((6*6)*X159)/162</f>
        <v>0</v>
      </c>
    </row>
    <row r="160" spans="1:25" x14ac:dyDescent="0.25">
      <c r="A160" s="60"/>
      <c r="B160" s="90" t="str">
        <f>CONCATENATE("Steel deformed bars, ",P158," mm dia")</f>
        <v>Steel deformed bars, 16 mm dia</v>
      </c>
      <c r="C160" s="31">
        <f>+S158</f>
        <v>345.12592592592591</v>
      </c>
      <c r="D160" s="27" t="s">
        <v>212</v>
      </c>
      <c r="E160" s="28"/>
      <c r="F160" s="34">
        <f t="shared" si="11"/>
        <v>0</v>
      </c>
    </row>
    <row r="161" spans="1:25" x14ac:dyDescent="0.25">
      <c r="A161" s="60"/>
      <c r="B161" s="90" t="str">
        <f>IF(I159="","",CONCATENATE("Steel deformed bars, ",P159," mm dia"))</f>
        <v/>
      </c>
      <c r="C161" s="31" t="str">
        <f>IF(I159="","",S159)</f>
        <v/>
      </c>
      <c r="D161" s="27" t="str">
        <f>IF(I159="","","kg")</f>
        <v/>
      </c>
      <c r="E161" s="28"/>
      <c r="F161" s="34" t="str">
        <f t="shared" si="11"/>
        <v/>
      </c>
    </row>
    <row r="162" spans="1:25" x14ac:dyDescent="0.25">
      <c r="A162" s="60"/>
      <c r="B162" s="90" t="s">
        <v>98</v>
      </c>
      <c r="C162" s="31">
        <v>1</v>
      </c>
      <c r="D162" s="27" t="s">
        <v>124</v>
      </c>
      <c r="E162" s="28"/>
      <c r="F162" s="34">
        <f t="shared" si="11"/>
        <v>0</v>
      </c>
    </row>
    <row r="163" spans="1:25" x14ac:dyDescent="0.25">
      <c r="A163" s="60"/>
      <c r="B163" s="90"/>
      <c r="C163" s="31"/>
      <c r="D163" s="27"/>
      <c r="E163" s="28"/>
      <c r="F163" s="34" t="str">
        <f t="shared" si="11"/>
        <v/>
      </c>
    </row>
    <row r="164" spans="1:25" x14ac:dyDescent="0.25">
      <c r="A164" s="60"/>
      <c r="B164" s="88" t="s">
        <v>1</v>
      </c>
      <c r="C164" s="31"/>
      <c r="D164" s="27"/>
      <c r="E164" s="28"/>
      <c r="F164" s="34" t="str">
        <f t="shared" si="11"/>
        <v/>
      </c>
    </row>
    <row r="165" spans="1:25" ht="38.25" x14ac:dyDescent="0.25">
      <c r="A165" s="60"/>
      <c r="B165" s="2" t="s">
        <v>99</v>
      </c>
      <c r="C165" s="225">
        <f>+O158</f>
        <v>55.523399999999995</v>
      </c>
      <c r="D165" s="226" t="s">
        <v>23</v>
      </c>
      <c r="E165" s="28"/>
      <c r="F165" s="34">
        <f t="shared" si="11"/>
        <v>0</v>
      </c>
    </row>
    <row r="166" spans="1:25" x14ac:dyDescent="0.25">
      <c r="A166" s="60"/>
      <c r="B166" s="90"/>
      <c r="C166" s="31"/>
      <c r="D166" s="27"/>
      <c r="E166" s="17"/>
      <c r="F166" s="34" t="str">
        <f t="shared" si="11"/>
        <v/>
      </c>
    </row>
    <row r="167" spans="1:25" x14ac:dyDescent="0.25">
      <c r="A167" s="86"/>
      <c r="B167" s="227" t="str">
        <f>CONCATENATE("Column ",H169)</f>
        <v>Column C1a</v>
      </c>
      <c r="C167" s="31"/>
      <c r="D167" s="27"/>
      <c r="E167" s="17"/>
      <c r="F167" s="34" t="str">
        <f t="shared" si="11"/>
        <v/>
      </c>
      <c r="H167" s="12"/>
      <c r="I167" t="s">
        <v>122</v>
      </c>
      <c r="P167" t="s">
        <v>198</v>
      </c>
    </row>
    <row r="168" spans="1:25" ht="15.75" x14ac:dyDescent="0.25">
      <c r="A168" s="60"/>
      <c r="B168" s="2" t="s">
        <v>123</v>
      </c>
      <c r="C168" s="31">
        <f>+N169</f>
        <v>6.4727999999999994</v>
      </c>
      <c r="D168" s="27" t="s">
        <v>83</v>
      </c>
      <c r="E168" s="28"/>
      <c r="F168" s="34">
        <f t="shared" si="11"/>
        <v>0</v>
      </c>
      <c r="H168" s="12"/>
      <c r="I168" s="12" t="s">
        <v>10</v>
      </c>
      <c r="J168" s="12" t="s">
        <v>199</v>
      </c>
      <c r="K168" s="12" t="s">
        <v>200</v>
      </c>
      <c r="L168" s="12" t="s">
        <v>27</v>
      </c>
      <c r="M168" s="12" t="s">
        <v>21</v>
      </c>
      <c r="N168" s="12" t="s">
        <v>201</v>
      </c>
      <c r="O168" t="s">
        <v>202</v>
      </c>
      <c r="P168" t="s">
        <v>203</v>
      </c>
      <c r="Q168" s="223" t="s">
        <v>10</v>
      </c>
      <c r="R168" s="224" t="s">
        <v>204</v>
      </c>
      <c r="S168" s="224" t="s">
        <v>205</v>
      </c>
      <c r="T168" s="224" t="s">
        <v>243</v>
      </c>
      <c r="U168" s="224" t="s">
        <v>207</v>
      </c>
      <c r="V168" s="224" t="s">
        <v>208</v>
      </c>
      <c r="W168" s="224" t="s">
        <v>209</v>
      </c>
      <c r="X168" s="224" t="s">
        <v>210</v>
      </c>
      <c r="Y168" s="224" t="s">
        <v>205</v>
      </c>
    </row>
    <row r="169" spans="1:25" x14ac:dyDescent="0.25">
      <c r="A169" s="86"/>
      <c r="B169" s="36" t="s">
        <v>0</v>
      </c>
      <c r="C169" s="31"/>
      <c r="D169" s="27"/>
      <c r="E169" s="28"/>
      <c r="F169" s="34" t="str">
        <f t="shared" si="11"/>
        <v/>
      </c>
      <c r="H169" s="12" t="s">
        <v>242</v>
      </c>
      <c r="I169" s="223">
        <v>4</v>
      </c>
      <c r="J169" s="223">
        <v>4.3499999999999996</v>
      </c>
      <c r="K169" s="223"/>
      <c r="L169" s="223"/>
      <c r="M169">
        <v>0.372</v>
      </c>
      <c r="N169">
        <f>M169*J169*I169</f>
        <v>6.4727999999999994</v>
      </c>
      <c r="O169">
        <f>3.191*J169*I169</f>
        <v>55.523399999999995</v>
      </c>
      <c r="P169" s="223">
        <v>20</v>
      </c>
      <c r="Q169" s="223">
        <v>12</v>
      </c>
      <c r="R169">
        <f>(J169+0.2)*Q169*I169</f>
        <v>218.39999999999998</v>
      </c>
      <c r="S169">
        <f>(R169*(P169*P169))/162</f>
        <v>539.25925925925912</v>
      </c>
      <c r="U169" s="223">
        <v>3</v>
      </c>
      <c r="V169" s="223">
        <v>0.15</v>
      </c>
      <c r="W169">
        <f>(J169*I169*U169)/V169</f>
        <v>348</v>
      </c>
      <c r="X169">
        <f>1.533*2*W169</f>
        <v>1066.9679999999998</v>
      </c>
      <c r="Y169">
        <f>((8*8)*X169)/162</f>
        <v>421.51822222222216</v>
      </c>
    </row>
    <row r="170" spans="1:25" x14ac:dyDescent="0.25">
      <c r="A170" s="60"/>
      <c r="B170" s="90" t="s">
        <v>244</v>
      </c>
      <c r="C170" s="31">
        <f>+Y169</f>
        <v>421.51822222222216</v>
      </c>
      <c r="D170" s="27" t="s">
        <v>212</v>
      </c>
      <c r="E170" s="28"/>
      <c r="F170" s="34">
        <f t="shared" si="11"/>
        <v>0</v>
      </c>
      <c r="H170" s="12" t="s">
        <v>211</v>
      </c>
      <c r="I170" s="223"/>
      <c r="J170" s="223">
        <v>3.85</v>
      </c>
      <c r="K170" s="223">
        <v>0.2</v>
      </c>
      <c r="L170" s="223">
        <v>0.2</v>
      </c>
      <c r="M170">
        <f>L170*K170</f>
        <v>4.0000000000000008E-2</v>
      </c>
      <c r="N170">
        <f>M170*J170*I170</f>
        <v>0</v>
      </c>
      <c r="O170">
        <f>(((J170*K170)+(J170*L170))*2)*I170</f>
        <v>0</v>
      </c>
      <c r="P170" s="223">
        <v>20</v>
      </c>
      <c r="Q170" s="223">
        <v>4</v>
      </c>
      <c r="R170">
        <f>(J170+0.2)*Q170*I170</f>
        <v>0</v>
      </c>
      <c r="S170">
        <f>(R170*(P170*P170))/162</f>
        <v>0</v>
      </c>
      <c r="U170" s="223">
        <v>1</v>
      </c>
      <c r="V170" s="223">
        <v>0.15</v>
      </c>
      <c r="W170">
        <f>(J170*I170*U170)/V170</f>
        <v>0</v>
      </c>
      <c r="X170">
        <f>(((K170-0.045)+(L170-0.045))*2)*W170</f>
        <v>0</v>
      </c>
      <c r="Y170">
        <f>((6*6)*X170)/162</f>
        <v>0</v>
      </c>
    </row>
    <row r="171" spans="1:25" x14ac:dyDescent="0.25">
      <c r="A171" s="60"/>
      <c r="B171" s="90" t="str">
        <f>CONCATENATE("Steel deformed bars, ",P169," mm dia")</f>
        <v>Steel deformed bars, 20 mm dia</v>
      </c>
      <c r="C171" s="31">
        <f>+S169</f>
        <v>539.25925925925912</v>
      </c>
      <c r="D171" s="27" t="s">
        <v>212</v>
      </c>
      <c r="E171" s="28"/>
      <c r="F171" s="34">
        <f t="shared" si="11"/>
        <v>0</v>
      </c>
    </row>
    <row r="172" spans="1:25" x14ac:dyDescent="0.25">
      <c r="A172" s="60"/>
      <c r="B172" s="90" t="str">
        <f>IF(I170="","",CONCATENATE("Steel deformed bars, ",P170," mm dia"))</f>
        <v/>
      </c>
      <c r="C172" s="31" t="str">
        <f>IF(I170="","",S170)</f>
        <v/>
      </c>
      <c r="D172" s="27" t="str">
        <f>IF(I170="","","kg")</f>
        <v/>
      </c>
      <c r="E172" s="28"/>
      <c r="F172" s="34" t="str">
        <f t="shared" si="11"/>
        <v/>
      </c>
    </row>
    <row r="173" spans="1:25" x14ac:dyDescent="0.25">
      <c r="A173" s="60"/>
      <c r="B173" s="90" t="s">
        <v>98</v>
      </c>
      <c r="C173" s="31">
        <v>1</v>
      </c>
      <c r="D173" s="27" t="s">
        <v>124</v>
      </c>
      <c r="E173" s="28"/>
      <c r="F173" s="34">
        <f t="shared" si="11"/>
        <v>0</v>
      </c>
    </row>
    <row r="174" spans="1:25" x14ac:dyDescent="0.25">
      <c r="A174" s="60"/>
      <c r="B174" s="90"/>
      <c r="C174" s="31"/>
      <c r="D174" s="27"/>
      <c r="E174" s="28"/>
      <c r="F174" s="34" t="str">
        <f t="shared" si="11"/>
        <v/>
      </c>
    </row>
    <row r="175" spans="1:25" x14ac:dyDescent="0.25">
      <c r="A175" s="60"/>
      <c r="B175" s="88" t="s">
        <v>1</v>
      </c>
      <c r="C175" s="31"/>
      <c r="D175" s="27"/>
      <c r="E175" s="28"/>
      <c r="F175" s="34" t="str">
        <f t="shared" si="11"/>
        <v/>
      </c>
    </row>
    <row r="176" spans="1:25" ht="38.25" x14ac:dyDescent="0.25">
      <c r="A176" s="60"/>
      <c r="B176" s="2" t="s">
        <v>99</v>
      </c>
      <c r="C176" s="225">
        <f>+O169</f>
        <v>55.523399999999995</v>
      </c>
      <c r="D176" s="226" t="s">
        <v>23</v>
      </c>
      <c r="E176" s="28"/>
      <c r="F176" s="34">
        <f t="shared" si="11"/>
        <v>0</v>
      </c>
    </row>
    <row r="177" spans="1:25" x14ac:dyDescent="0.25">
      <c r="A177" s="60"/>
      <c r="B177" s="90"/>
      <c r="C177" s="31"/>
      <c r="D177" s="27"/>
      <c r="E177" s="17"/>
      <c r="F177" s="34" t="str">
        <f t="shared" si="11"/>
        <v/>
      </c>
    </row>
    <row r="178" spans="1:25" x14ac:dyDescent="0.25">
      <c r="A178" s="86"/>
      <c r="B178" s="227" t="str">
        <f>CONCATENATE("Column ",H180)</f>
        <v>Column C2</v>
      </c>
      <c r="C178" s="31"/>
      <c r="D178" s="27"/>
      <c r="E178" s="17"/>
      <c r="F178" s="34" t="str">
        <f t="shared" si="11"/>
        <v/>
      </c>
      <c r="H178" s="12"/>
      <c r="I178" t="s">
        <v>122</v>
      </c>
      <c r="P178" t="s">
        <v>198</v>
      </c>
    </row>
    <row r="179" spans="1:25" ht="15.75" x14ac:dyDescent="0.25">
      <c r="A179" s="60"/>
      <c r="B179" s="2" t="s">
        <v>123</v>
      </c>
      <c r="C179" s="31">
        <f>+N180</f>
        <v>1.74</v>
      </c>
      <c r="D179" s="27" t="s">
        <v>83</v>
      </c>
      <c r="E179" s="28"/>
      <c r="F179" s="34">
        <f t="shared" si="11"/>
        <v>0</v>
      </c>
      <c r="H179" s="12"/>
      <c r="I179" s="12" t="s">
        <v>10</v>
      </c>
      <c r="J179" s="12" t="s">
        <v>199</v>
      </c>
      <c r="K179" s="12" t="s">
        <v>200</v>
      </c>
      <c r="L179" s="12" t="s">
        <v>27</v>
      </c>
      <c r="M179" s="12" t="s">
        <v>21</v>
      </c>
      <c r="N179" s="12" t="s">
        <v>201</v>
      </c>
      <c r="O179" t="s">
        <v>202</v>
      </c>
      <c r="P179" t="s">
        <v>203</v>
      </c>
      <c r="Q179" s="223" t="s">
        <v>10</v>
      </c>
      <c r="R179" s="224" t="s">
        <v>204</v>
      </c>
      <c r="S179" s="224" t="s">
        <v>205</v>
      </c>
      <c r="T179" s="224" t="s">
        <v>206</v>
      </c>
      <c r="U179" s="224" t="s">
        <v>207</v>
      </c>
      <c r="V179" s="224" t="s">
        <v>208</v>
      </c>
      <c r="W179" s="224" t="s">
        <v>209</v>
      </c>
      <c r="X179" s="224" t="s">
        <v>210</v>
      </c>
      <c r="Y179" s="224" t="s">
        <v>205</v>
      </c>
    </row>
    <row r="180" spans="1:25" x14ac:dyDescent="0.25">
      <c r="A180" s="86"/>
      <c r="B180" s="36" t="s">
        <v>0</v>
      </c>
      <c r="C180" s="31"/>
      <c r="D180" s="27"/>
      <c r="E180" s="28"/>
      <c r="F180" s="34" t="str">
        <f t="shared" si="11"/>
        <v/>
      </c>
      <c r="H180" s="12" t="s">
        <v>240</v>
      </c>
      <c r="I180" s="223">
        <v>4</v>
      </c>
      <c r="J180" s="223">
        <v>4.3499999999999996</v>
      </c>
      <c r="K180" s="223"/>
      <c r="L180" s="223"/>
      <c r="M180">
        <v>0.1</v>
      </c>
      <c r="N180">
        <f>M180*J180*I180</f>
        <v>1.74</v>
      </c>
      <c r="O180">
        <f>1.231*J180*I180</f>
        <v>21.4194</v>
      </c>
      <c r="P180" s="223">
        <v>16</v>
      </c>
      <c r="Q180" s="223">
        <v>4</v>
      </c>
      <c r="R180">
        <f>(J180+0.2)*Q180*I180</f>
        <v>72.8</v>
      </c>
      <c r="S180">
        <f>(R180*(P180*P180))/162</f>
        <v>115.04197530864197</v>
      </c>
      <c r="U180" s="223">
        <v>1</v>
      </c>
      <c r="V180" s="223">
        <v>0.15</v>
      </c>
      <c r="W180">
        <f>(J180*I180*U180)/V180</f>
        <v>116</v>
      </c>
      <c r="X180">
        <f>0.898*W180</f>
        <v>104.16800000000001</v>
      </c>
      <c r="Y180">
        <f>((6*6)*X180)/162</f>
        <v>23.148444444444447</v>
      </c>
    </row>
    <row r="181" spans="1:25" x14ac:dyDescent="0.25">
      <c r="A181" s="60"/>
      <c r="B181" s="90" t="s">
        <v>125</v>
      </c>
      <c r="C181" s="31">
        <f>+Y180</f>
        <v>23.148444444444447</v>
      </c>
      <c r="D181" s="27" t="s">
        <v>212</v>
      </c>
      <c r="E181" s="28"/>
      <c r="F181" s="34">
        <f t="shared" si="11"/>
        <v>0</v>
      </c>
      <c r="H181" s="12" t="s">
        <v>211</v>
      </c>
      <c r="I181" s="223"/>
      <c r="J181" s="223">
        <v>3.85</v>
      </c>
      <c r="K181" s="223">
        <v>0.2</v>
      </c>
      <c r="L181" s="223">
        <v>0.2</v>
      </c>
      <c r="M181">
        <f>L181*K181</f>
        <v>4.0000000000000008E-2</v>
      </c>
      <c r="N181">
        <f>M181*J181*I181</f>
        <v>0</v>
      </c>
      <c r="O181">
        <f>(((J181*K181)+(J181*L181))*2)*I181</f>
        <v>0</v>
      </c>
      <c r="P181" s="223">
        <v>12</v>
      </c>
      <c r="Q181" s="223">
        <v>4</v>
      </c>
      <c r="R181">
        <f>(J181+0.2)*Q181*I181</f>
        <v>0</v>
      </c>
      <c r="S181">
        <f>(R181*(P181*P181))/162</f>
        <v>0</v>
      </c>
      <c r="U181" s="223">
        <v>1</v>
      </c>
      <c r="V181" s="223">
        <v>0.15</v>
      </c>
      <c r="W181">
        <f>(J181*I181*U181)/V181</f>
        <v>0</v>
      </c>
      <c r="X181">
        <f>(((K181-0.045)+(L181-0.045))*2)*W181</f>
        <v>0</v>
      </c>
      <c r="Y181">
        <f>((6*6)*X181)/162</f>
        <v>0</v>
      </c>
    </row>
    <row r="182" spans="1:25" x14ac:dyDescent="0.25">
      <c r="A182" s="60"/>
      <c r="B182" s="90" t="str">
        <f>CONCATENATE("Steel deformed bars, ",P180," mm dia")</f>
        <v>Steel deformed bars, 16 mm dia</v>
      </c>
      <c r="C182" s="31">
        <f>+S180</f>
        <v>115.04197530864197</v>
      </c>
      <c r="D182" s="27" t="s">
        <v>212</v>
      </c>
      <c r="E182" s="28"/>
      <c r="F182" s="34">
        <f t="shared" si="11"/>
        <v>0</v>
      </c>
    </row>
    <row r="183" spans="1:25" x14ac:dyDescent="0.25">
      <c r="A183" s="60"/>
      <c r="B183" s="90" t="str">
        <f>IF(I181="","",CONCATENATE("Steel deformed bars, ",P181," mm dia"))</f>
        <v/>
      </c>
      <c r="C183" s="31" t="str">
        <f>IF(I181="","",S181)</f>
        <v/>
      </c>
      <c r="D183" s="27" t="str">
        <f>IF(I181="","","kg")</f>
        <v/>
      </c>
      <c r="E183" s="28"/>
      <c r="F183" s="34" t="str">
        <f t="shared" si="11"/>
        <v/>
      </c>
    </row>
    <row r="184" spans="1:25" x14ac:dyDescent="0.25">
      <c r="A184" s="60"/>
      <c r="B184" s="90" t="s">
        <v>98</v>
      </c>
      <c r="C184" s="31">
        <v>1</v>
      </c>
      <c r="D184" s="27" t="s">
        <v>124</v>
      </c>
      <c r="E184" s="28"/>
      <c r="F184" s="34">
        <f t="shared" si="11"/>
        <v>0</v>
      </c>
    </row>
    <row r="185" spans="1:25" x14ac:dyDescent="0.25">
      <c r="A185" s="60"/>
      <c r="B185" s="90"/>
      <c r="C185" s="31"/>
      <c r="D185" s="27"/>
      <c r="E185" s="28"/>
      <c r="F185" s="34" t="str">
        <f t="shared" si="11"/>
        <v/>
      </c>
    </row>
    <row r="186" spans="1:25" x14ac:dyDescent="0.25">
      <c r="A186" s="60"/>
      <c r="B186" s="88" t="s">
        <v>1</v>
      </c>
      <c r="C186" s="31"/>
      <c r="D186" s="27"/>
      <c r="E186" s="28"/>
      <c r="F186" s="34" t="str">
        <f t="shared" si="11"/>
        <v/>
      </c>
    </row>
    <row r="187" spans="1:25" ht="38.25" x14ac:dyDescent="0.25">
      <c r="A187" s="60"/>
      <c r="B187" s="2" t="s">
        <v>99</v>
      </c>
      <c r="C187" s="225">
        <f>+O180</f>
        <v>21.4194</v>
      </c>
      <c r="D187" s="226" t="s">
        <v>23</v>
      </c>
      <c r="E187" s="28"/>
      <c r="F187" s="34">
        <f t="shared" si="11"/>
        <v>0</v>
      </c>
    </row>
    <row r="188" spans="1:25" x14ac:dyDescent="0.25">
      <c r="A188" s="60"/>
      <c r="B188" s="90"/>
      <c r="C188" s="31"/>
      <c r="D188" s="27"/>
      <c r="E188" s="17"/>
      <c r="F188" s="34" t="str">
        <f t="shared" si="11"/>
        <v/>
      </c>
    </row>
    <row r="189" spans="1:25" x14ac:dyDescent="0.25">
      <c r="A189" s="86"/>
      <c r="B189" s="227" t="str">
        <f>CONCATENATE("Column ",H191)</f>
        <v>Column C2a</v>
      </c>
      <c r="C189" s="31"/>
      <c r="D189" s="27"/>
      <c r="E189" s="17"/>
      <c r="F189" s="34" t="str">
        <f t="shared" si="11"/>
        <v/>
      </c>
      <c r="H189" s="12"/>
      <c r="I189" t="s">
        <v>122</v>
      </c>
      <c r="P189" t="s">
        <v>198</v>
      </c>
    </row>
    <row r="190" spans="1:25" ht="15.75" x14ac:dyDescent="0.25">
      <c r="A190" s="60"/>
      <c r="B190" s="2" t="s">
        <v>123</v>
      </c>
      <c r="C190" s="31">
        <f>+N191</f>
        <v>6.4727999999999994</v>
      </c>
      <c r="D190" s="27" t="s">
        <v>83</v>
      </c>
      <c r="E190" s="28"/>
      <c r="F190" s="34">
        <f t="shared" si="11"/>
        <v>0</v>
      </c>
      <c r="H190" s="12"/>
      <c r="I190" s="12" t="s">
        <v>10</v>
      </c>
      <c r="J190" s="12" t="s">
        <v>199</v>
      </c>
      <c r="K190" s="12" t="s">
        <v>200</v>
      </c>
      <c r="L190" s="12" t="s">
        <v>27</v>
      </c>
      <c r="M190" s="12" t="s">
        <v>21</v>
      </c>
      <c r="N190" s="12" t="s">
        <v>201</v>
      </c>
      <c r="O190" t="s">
        <v>202</v>
      </c>
      <c r="P190" t="s">
        <v>203</v>
      </c>
      <c r="Q190" s="223" t="s">
        <v>10</v>
      </c>
      <c r="R190" s="224" t="s">
        <v>204</v>
      </c>
      <c r="S190" s="224" t="s">
        <v>205</v>
      </c>
      <c r="T190" s="224" t="s">
        <v>206</v>
      </c>
      <c r="U190" s="224" t="s">
        <v>207</v>
      </c>
      <c r="V190" s="224" t="s">
        <v>208</v>
      </c>
      <c r="W190" s="224" t="s">
        <v>209</v>
      </c>
      <c r="X190" s="224" t="s">
        <v>210</v>
      </c>
      <c r="Y190" s="224" t="s">
        <v>205</v>
      </c>
    </row>
    <row r="191" spans="1:25" x14ac:dyDescent="0.25">
      <c r="A191" s="86"/>
      <c r="B191" s="36" t="s">
        <v>0</v>
      </c>
      <c r="C191" s="31"/>
      <c r="D191" s="27"/>
      <c r="E191" s="28"/>
      <c r="F191" s="34" t="str">
        <f t="shared" si="11"/>
        <v/>
      </c>
      <c r="H191" s="12" t="s">
        <v>241</v>
      </c>
      <c r="I191" s="223">
        <v>4</v>
      </c>
      <c r="J191" s="223">
        <v>4.3499999999999996</v>
      </c>
      <c r="K191" s="223"/>
      <c r="L191" s="223"/>
      <c r="M191">
        <v>0.372</v>
      </c>
      <c r="N191">
        <f>M191*J191*I191</f>
        <v>6.4727999999999994</v>
      </c>
      <c r="O191">
        <f>3.191*J191*I191</f>
        <v>55.523399999999995</v>
      </c>
      <c r="P191" s="223">
        <v>20</v>
      </c>
      <c r="Q191" s="223">
        <v>4</v>
      </c>
      <c r="R191">
        <f>(J191+0.2)*Q191*I191</f>
        <v>72.8</v>
      </c>
      <c r="S191">
        <f>(R191*(P191*P191))/162</f>
        <v>179.75308641975309</v>
      </c>
      <c r="U191" s="223">
        <v>1</v>
      </c>
      <c r="V191" s="223">
        <v>0.15</v>
      </c>
      <c r="W191">
        <f>(J191*I191*U191)/V191</f>
        <v>116</v>
      </c>
      <c r="X191">
        <f>0.898*W191</f>
        <v>104.16800000000001</v>
      </c>
      <c r="Y191">
        <f>((6*6)*X191)/162</f>
        <v>23.148444444444447</v>
      </c>
    </row>
    <row r="192" spans="1:25" x14ac:dyDescent="0.25">
      <c r="A192" s="60"/>
      <c r="B192" s="90" t="s">
        <v>125</v>
      </c>
      <c r="C192" s="31">
        <f>+Y191</f>
        <v>23.148444444444447</v>
      </c>
      <c r="D192" s="27" t="s">
        <v>212</v>
      </c>
      <c r="E192" s="28"/>
      <c r="F192" s="34">
        <f t="shared" si="11"/>
        <v>0</v>
      </c>
      <c r="H192" s="12" t="s">
        <v>211</v>
      </c>
      <c r="I192" s="223"/>
      <c r="J192" s="223">
        <v>3.85</v>
      </c>
      <c r="K192" s="223">
        <v>0.2</v>
      </c>
      <c r="L192" s="223">
        <v>0.2</v>
      </c>
      <c r="M192">
        <f>L192*K192</f>
        <v>4.0000000000000008E-2</v>
      </c>
      <c r="N192">
        <f>M192*J192*I192</f>
        <v>0</v>
      </c>
      <c r="O192">
        <f>(((J192*K192)+(J192*L192))*2)*I192</f>
        <v>0</v>
      </c>
      <c r="P192" s="223">
        <v>12</v>
      </c>
      <c r="Q192" s="223">
        <v>4</v>
      </c>
      <c r="R192">
        <f>(J192+0.2)*Q192*I192</f>
        <v>0</v>
      </c>
      <c r="S192">
        <f>(R192*(P192*P192))/162</f>
        <v>0</v>
      </c>
      <c r="U192" s="223">
        <v>1</v>
      </c>
      <c r="V192" s="223">
        <v>0.15</v>
      </c>
      <c r="W192">
        <f>(J192*I192*U192)/V192</f>
        <v>0</v>
      </c>
      <c r="X192">
        <f>(((K192-0.045)+(L192-0.045))*2)*W192</f>
        <v>0</v>
      </c>
      <c r="Y192">
        <f>((6*6)*X192)/162</f>
        <v>0</v>
      </c>
    </row>
    <row r="193" spans="1:25" x14ac:dyDescent="0.25">
      <c r="A193" s="60"/>
      <c r="B193" s="90" t="str">
        <f>CONCATENATE("Steel deformed bars, ",P191," mm dia")</f>
        <v>Steel deformed bars, 20 mm dia</v>
      </c>
      <c r="C193" s="31">
        <f>+S191</f>
        <v>179.75308641975309</v>
      </c>
      <c r="D193" s="27" t="s">
        <v>212</v>
      </c>
      <c r="E193" s="28"/>
      <c r="F193" s="34">
        <f t="shared" si="11"/>
        <v>0</v>
      </c>
    </row>
    <row r="194" spans="1:25" x14ac:dyDescent="0.25">
      <c r="A194" s="60"/>
      <c r="B194" s="90" t="str">
        <f>IF(I192="","",CONCATENATE("Steel deformed bars, ",P192," mm dia"))</f>
        <v/>
      </c>
      <c r="C194" s="31" t="str">
        <f>IF(I192="","",S192)</f>
        <v/>
      </c>
      <c r="D194" s="27" t="str">
        <f>IF(I192="","","kg")</f>
        <v/>
      </c>
      <c r="E194" s="28"/>
      <c r="F194" s="34" t="str">
        <f t="shared" si="11"/>
        <v/>
      </c>
    </row>
    <row r="195" spans="1:25" x14ac:dyDescent="0.25">
      <c r="A195" s="60"/>
      <c r="B195" s="90" t="s">
        <v>98</v>
      </c>
      <c r="C195" s="31">
        <v>1</v>
      </c>
      <c r="D195" s="27" t="s">
        <v>124</v>
      </c>
      <c r="E195" s="28"/>
      <c r="F195" s="34">
        <f t="shared" si="11"/>
        <v>0</v>
      </c>
    </row>
    <row r="196" spans="1:25" x14ac:dyDescent="0.25">
      <c r="A196" s="60"/>
      <c r="B196" s="90"/>
      <c r="C196" s="31"/>
      <c r="D196" s="27"/>
      <c r="E196" s="28"/>
      <c r="F196" s="34" t="str">
        <f t="shared" si="11"/>
        <v/>
      </c>
    </row>
    <row r="197" spans="1:25" x14ac:dyDescent="0.25">
      <c r="A197" s="60"/>
      <c r="B197" s="88" t="s">
        <v>1</v>
      </c>
      <c r="C197" s="31"/>
      <c r="D197" s="27"/>
      <c r="E197" s="28"/>
      <c r="F197" s="34" t="str">
        <f t="shared" si="11"/>
        <v/>
      </c>
    </row>
    <row r="198" spans="1:25" ht="38.25" x14ac:dyDescent="0.25">
      <c r="A198" s="60"/>
      <c r="B198" s="2" t="s">
        <v>99</v>
      </c>
      <c r="C198" s="225">
        <f>+O191</f>
        <v>55.523399999999995</v>
      </c>
      <c r="D198" s="226" t="s">
        <v>23</v>
      </c>
      <c r="E198" s="28"/>
      <c r="F198" s="34">
        <f t="shared" si="11"/>
        <v>0</v>
      </c>
    </row>
    <row r="199" spans="1:25" x14ac:dyDescent="0.25">
      <c r="A199" s="60"/>
      <c r="B199" s="90"/>
      <c r="C199" s="31"/>
      <c r="D199" s="27"/>
      <c r="E199" s="17"/>
      <c r="F199" s="34" t="str">
        <f t="shared" si="11"/>
        <v/>
      </c>
    </row>
    <row r="200" spans="1:25" x14ac:dyDescent="0.25">
      <c r="A200" s="86"/>
      <c r="B200" s="227" t="str">
        <f>CONCATENATE("Column ",H202)</f>
        <v>Column C3</v>
      </c>
      <c r="C200" s="31"/>
      <c r="D200" s="27"/>
      <c r="E200" s="17"/>
      <c r="F200" s="34" t="str">
        <f t="shared" si="11"/>
        <v/>
      </c>
      <c r="H200" s="12"/>
      <c r="I200" t="s">
        <v>122</v>
      </c>
      <c r="P200" t="s">
        <v>198</v>
      </c>
    </row>
    <row r="201" spans="1:25" ht="15.75" x14ac:dyDescent="0.25">
      <c r="A201" s="60"/>
      <c r="B201" s="2" t="s">
        <v>123</v>
      </c>
      <c r="C201" s="31">
        <f>+N202</f>
        <v>1.74</v>
      </c>
      <c r="D201" s="27" t="s">
        <v>83</v>
      </c>
      <c r="E201" s="28"/>
      <c r="F201" s="34">
        <f t="shared" si="11"/>
        <v>0</v>
      </c>
      <c r="H201" s="12"/>
      <c r="I201" s="12" t="s">
        <v>10</v>
      </c>
      <c r="J201" s="12" t="s">
        <v>199</v>
      </c>
      <c r="K201" s="12" t="s">
        <v>200</v>
      </c>
      <c r="L201" s="12" t="s">
        <v>27</v>
      </c>
      <c r="M201" s="12" t="s">
        <v>21</v>
      </c>
      <c r="N201" s="12" t="s">
        <v>201</v>
      </c>
      <c r="O201" t="s">
        <v>202</v>
      </c>
      <c r="P201" t="s">
        <v>203</v>
      </c>
      <c r="Q201" s="223" t="s">
        <v>10</v>
      </c>
      <c r="R201" s="224" t="s">
        <v>204</v>
      </c>
      <c r="S201" s="224" t="s">
        <v>205</v>
      </c>
      <c r="T201" s="224" t="s">
        <v>206</v>
      </c>
      <c r="U201" s="224" t="s">
        <v>207</v>
      </c>
      <c r="V201" s="224" t="s">
        <v>208</v>
      </c>
      <c r="W201" s="224" t="s">
        <v>209</v>
      </c>
      <c r="X201" s="224" t="s">
        <v>210</v>
      </c>
      <c r="Y201" s="224" t="s">
        <v>205</v>
      </c>
    </row>
    <row r="202" spans="1:25" x14ac:dyDescent="0.25">
      <c r="A202" s="86"/>
      <c r="B202" s="36" t="s">
        <v>0</v>
      </c>
      <c r="C202" s="31"/>
      <c r="D202" s="27"/>
      <c r="E202" s="28"/>
      <c r="F202" s="34" t="str">
        <f t="shared" si="11"/>
        <v/>
      </c>
      <c r="H202" s="12" t="s">
        <v>239</v>
      </c>
      <c r="I202" s="223">
        <v>4</v>
      </c>
      <c r="J202" s="223">
        <v>4.3499999999999996</v>
      </c>
      <c r="K202" s="223"/>
      <c r="L202" s="223"/>
      <c r="M202">
        <v>0.1</v>
      </c>
      <c r="N202">
        <f>M202*J202*I202</f>
        <v>1.74</v>
      </c>
      <c r="O202">
        <f>1.231*J202*I202</f>
        <v>21.4194</v>
      </c>
      <c r="P202" s="223">
        <v>16</v>
      </c>
      <c r="Q202" s="223">
        <v>4</v>
      </c>
      <c r="R202">
        <f>(J202+0.2)*Q202*I202</f>
        <v>72.8</v>
      </c>
      <c r="S202">
        <f>(R202*(P202*P202))/162</f>
        <v>115.04197530864197</v>
      </c>
      <c r="U202" s="223">
        <v>1</v>
      </c>
      <c r="V202" s="223">
        <v>0.15</v>
      </c>
      <c r="W202">
        <f>(J202*I202*U202)/V202</f>
        <v>116</v>
      </c>
      <c r="X202">
        <f>0.898*W202</f>
        <v>104.16800000000001</v>
      </c>
      <c r="Y202">
        <f>((6*6)*X202)/162</f>
        <v>23.148444444444447</v>
      </c>
    </row>
    <row r="203" spans="1:25" x14ac:dyDescent="0.25">
      <c r="A203" s="60"/>
      <c r="B203" s="90" t="s">
        <v>125</v>
      </c>
      <c r="C203" s="31">
        <f>+Y202</f>
        <v>23.148444444444447</v>
      </c>
      <c r="D203" s="27" t="s">
        <v>212</v>
      </c>
      <c r="E203" s="28"/>
      <c r="F203" s="34">
        <f t="shared" si="11"/>
        <v>0</v>
      </c>
      <c r="H203" s="12" t="s">
        <v>211</v>
      </c>
      <c r="I203" s="223"/>
      <c r="J203" s="223">
        <v>3.85</v>
      </c>
      <c r="K203" s="223">
        <v>0.2</v>
      </c>
      <c r="L203" s="223">
        <v>0.2</v>
      </c>
      <c r="M203">
        <f>L203*K203</f>
        <v>4.0000000000000008E-2</v>
      </c>
      <c r="N203">
        <f>M203*J203*I203</f>
        <v>0</v>
      </c>
      <c r="O203">
        <f>(((J203*K203)+(J203*L203))*2)*I203</f>
        <v>0</v>
      </c>
      <c r="P203" s="223">
        <v>12</v>
      </c>
      <c r="Q203" s="223">
        <v>4</v>
      </c>
      <c r="R203">
        <f>(J203+0.2)*Q203*I203</f>
        <v>0</v>
      </c>
      <c r="S203">
        <f>(R203*(P203*P203))/162</f>
        <v>0</v>
      </c>
      <c r="U203" s="223">
        <v>1</v>
      </c>
      <c r="V203" s="223">
        <v>0.15</v>
      </c>
      <c r="W203">
        <f>(J203*I203*U203)/V203</f>
        <v>0</v>
      </c>
      <c r="X203">
        <f>(((K203-0.045)+(L203-0.045))*2)*W203</f>
        <v>0</v>
      </c>
      <c r="Y203">
        <f>((6*6)*X203)/162</f>
        <v>0</v>
      </c>
    </row>
    <row r="204" spans="1:25" x14ac:dyDescent="0.25">
      <c r="A204" s="60"/>
      <c r="B204" s="90" t="str">
        <f>CONCATENATE("Steel deformed bars, ",P202," mm dia")</f>
        <v>Steel deformed bars, 16 mm dia</v>
      </c>
      <c r="C204" s="31">
        <f>+S202</f>
        <v>115.04197530864197</v>
      </c>
      <c r="D204" s="27" t="s">
        <v>212</v>
      </c>
      <c r="E204" s="28"/>
      <c r="F204" s="34">
        <f t="shared" si="11"/>
        <v>0</v>
      </c>
    </row>
    <row r="205" spans="1:25" x14ac:dyDescent="0.25">
      <c r="A205" s="60"/>
      <c r="B205" s="90" t="str">
        <f>IF(I203="","",CONCATENATE("Steel deformed bars, ",P203," mm dia"))</f>
        <v/>
      </c>
      <c r="C205" s="31" t="str">
        <f>IF(I203="","",S203)</f>
        <v/>
      </c>
      <c r="D205" s="27" t="str">
        <f>IF(I203="","","kg")</f>
        <v/>
      </c>
      <c r="E205" s="28"/>
      <c r="F205" s="34" t="str">
        <f t="shared" si="11"/>
        <v/>
      </c>
    </row>
    <row r="206" spans="1:25" x14ac:dyDescent="0.25">
      <c r="A206" s="60"/>
      <c r="B206" s="90" t="s">
        <v>98</v>
      </c>
      <c r="C206" s="31">
        <v>1</v>
      </c>
      <c r="D206" s="27" t="s">
        <v>124</v>
      </c>
      <c r="E206" s="28"/>
      <c r="F206" s="34">
        <f t="shared" si="11"/>
        <v>0</v>
      </c>
    </row>
    <row r="207" spans="1:25" x14ac:dyDescent="0.25">
      <c r="A207" s="60"/>
      <c r="B207" s="90"/>
      <c r="C207" s="31"/>
      <c r="D207" s="27"/>
      <c r="E207" s="28"/>
      <c r="F207" s="34" t="str">
        <f t="shared" si="11"/>
        <v/>
      </c>
    </row>
    <row r="208" spans="1:25" x14ac:dyDescent="0.25">
      <c r="A208" s="60"/>
      <c r="B208" s="88" t="s">
        <v>1</v>
      </c>
      <c r="C208" s="31"/>
      <c r="D208" s="27"/>
      <c r="E208" s="28"/>
      <c r="F208" s="34" t="str">
        <f t="shared" si="11"/>
        <v/>
      </c>
    </row>
    <row r="209" spans="1:25" ht="38.25" x14ac:dyDescent="0.25">
      <c r="A209" s="60"/>
      <c r="B209" s="2" t="s">
        <v>99</v>
      </c>
      <c r="C209" s="225">
        <f>+O202</f>
        <v>21.4194</v>
      </c>
      <c r="D209" s="226" t="s">
        <v>23</v>
      </c>
      <c r="E209" s="28"/>
      <c r="F209" s="34">
        <f t="shared" si="11"/>
        <v>0</v>
      </c>
    </row>
    <row r="210" spans="1:25" x14ac:dyDescent="0.25">
      <c r="A210" s="60"/>
      <c r="B210" s="90"/>
      <c r="C210" s="31"/>
      <c r="D210" s="27"/>
      <c r="E210" s="17"/>
      <c r="F210" s="34" t="str">
        <f t="shared" si="11"/>
        <v/>
      </c>
    </row>
    <row r="211" spans="1:25" x14ac:dyDescent="0.25">
      <c r="A211" s="86"/>
      <c r="B211" s="227" t="str">
        <f>CONCATENATE("Column ",H213)</f>
        <v>Column C3a</v>
      </c>
      <c r="C211" s="31"/>
      <c r="D211" s="27"/>
      <c r="E211" s="17"/>
      <c r="F211" s="34" t="str">
        <f t="shared" si="11"/>
        <v/>
      </c>
      <c r="H211" s="12"/>
      <c r="I211" t="s">
        <v>122</v>
      </c>
      <c r="P211" t="s">
        <v>198</v>
      </c>
    </row>
    <row r="212" spans="1:25" ht="15.75" x14ac:dyDescent="0.25">
      <c r="A212" s="60"/>
      <c r="B212" s="2" t="s">
        <v>123</v>
      </c>
      <c r="C212" s="31">
        <f>+N213</f>
        <v>6.4727999999999994</v>
      </c>
      <c r="D212" s="27" t="s">
        <v>83</v>
      </c>
      <c r="E212" s="28"/>
      <c r="F212" s="34">
        <f t="shared" si="11"/>
        <v>0</v>
      </c>
      <c r="H212" s="12"/>
      <c r="I212" s="12" t="s">
        <v>10</v>
      </c>
      <c r="J212" s="12" t="s">
        <v>199</v>
      </c>
      <c r="K212" s="12" t="s">
        <v>200</v>
      </c>
      <c r="L212" s="12" t="s">
        <v>27</v>
      </c>
      <c r="M212" s="12" t="s">
        <v>21</v>
      </c>
      <c r="N212" s="12" t="s">
        <v>201</v>
      </c>
      <c r="O212" t="s">
        <v>202</v>
      </c>
      <c r="P212" t="s">
        <v>203</v>
      </c>
      <c r="Q212" s="223" t="s">
        <v>10</v>
      </c>
      <c r="R212" s="224" t="s">
        <v>204</v>
      </c>
      <c r="S212" s="224" t="s">
        <v>205</v>
      </c>
      <c r="T212" s="224" t="s">
        <v>206</v>
      </c>
      <c r="U212" s="224" t="s">
        <v>207</v>
      </c>
      <c r="V212" s="224" t="s">
        <v>208</v>
      </c>
      <c r="W212" s="224" t="s">
        <v>209</v>
      </c>
      <c r="X212" s="224" t="s">
        <v>210</v>
      </c>
      <c r="Y212" s="224" t="s">
        <v>205</v>
      </c>
    </row>
    <row r="213" spans="1:25" x14ac:dyDescent="0.25">
      <c r="A213" s="86"/>
      <c r="B213" s="36" t="s">
        <v>0</v>
      </c>
      <c r="C213" s="31"/>
      <c r="D213" s="27"/>
      <c r="E213" s="28"/>
      <c r="F213" s="34" t="str">
        <f t="shared" si="11"/>
        <v/>
      </c>
      <c r="H213" s="12" t="s">
        <v>238</v>
      </c>
      <c r="I213" s="223">
        <v>4</v>
      </c>
      <c r="J213" s="223">
        <v>4.3499999999999996</v>
      </c>
      <c r="K213" s="223"/>
      <c r="L213" s="223"/>
      <c r="M213">
        <v>0.372</v>
      </c>
      <c r="N213">
        <f>M213*J213*I213</f>
        <v>6.4727999999999994</v>
      </c>
      <c r="O213">
        <f>3.191*J213*I213</f>
        <v>55.523399999999995</v>
      </c>
      <c r="P213" s="223">
        <v>20</v>
      </c>
      <c r="Q213" s="223">
        <v>4</v>
      </c>
      <c r="R213">
        <f>(J213+0.2)*Q213*I213</f>
        <v>72.8</v>
      </c>
      <c r="S213">
        <f>(R213*(P213*P213))/162</f>
        <v>179.75308641975309</v>
      </c>
      <c r="U213" s="223">
        <v>1</v>
      </c>
      <c r="V213" s="223">
        <v>0.15</v>
      </c>
      <c r="W213">
        <f>(J213*I213*U213)/V213</f>
        <v>116</v>
      </c>
      <c r="X213">
        <f>0.898*W213</f>
        <v>104.16800000000001</v>
      </c>
      <c r="Y213">
        <f>((6*6)*X213)/162</f>
        <v>23.148444444444447</v>
      </c>
    </row>
    <row r="214" spans="1:25" x14ac:dyDescent="0.25">
      <c r="A214" s="60"/>
      <c r="B214" s="90" t="s">
        <v>125</v>
      </c>
      <c r="C214" s="31">
        <f>+Y213</f>
        <v>23.148444444444447</v>
      </c>
      <c r="D214" s="27" t="s">
        <v>212</v>
      </c>
      <c r="E214" s="28"/>
      <c r="F214" s="34">
        <f t="shared" si="11"/>
        <v>0</v>
      </c>
      <c r="H214" s="12" t="s">
        <v>211</v>
      </c>
      <c r="I214" s="223"/>
      <c r="J214" s="223">
        <v>3.85</v>
      </c>
      <c r="K214" s="223">
        <v>0.2</v>
      </c>
      <c r="L214" s="223">
        <v>0.2</v>
      </c>
      <c r="M214">
        <f>L214*K214</f>
        <v>4.0000000000000008E-2</v>
      </c>
      <c r="N214">
        <f>M214*J214*I214</f>
        <v>0</v>
      </c>
      <c r="O214">
        <f>(((J214*K214)+(J214*L214))*2)*I214</f>
        <v>0</v>
      </c>
      <c r="P214" s="223">
        <v>12</v>
      </c>
      <c r="Q214" s="223">
        <v>4</v>
      </c>
      <c r="R214">
        <f>(J214+0.2)*Q214*I214</f>
        <v>0</v>
      </c>
      <c r="S214">
        <f>(R214*(P214*P214))/162</f>
        <v>0</v>
      </c>
      <c r="U214" s="223">
        <v>1</v>
      </c>
      <c r="V214" s="223">
        <v>0.15</v>
      </c>
      <c r="W214">
        <f>(J214*I214*U214)/V214</f>
        <v>0</v>
      </c>
      <c r="X214">
        <f>(((K214-0.045)+(L214-0.045))*2)*W214</f>
        <v>0</v>
      </c>
      <c r="Y214">
        <f>((6*6)*X214)/162</f>
        <v>0</v>
      </c>
    </row>
    <row r="215" spans="1:25" x14ac:dyDescent="0.25">
      <c r="A215" s="60"/>
      <c r="B215" s="90" t="str">
        <f>CONCATENATE("Steel deformed bars, ",P213," mm dia")</f>
        <v>Steel deformed bars, 20 mm dia</v>
      </c>
      <c r="C215" s="31">
        <f>+S213</f>
        <v>179.75308641975309</v>
      </c>
      <c r="D215" s="27" t="s">
        <v>212</v>
      </c>
      <c r="E215" s="28"/>
      <c r="F215" s="34">
        <f t="shared" si="11"/>
        <v>0</v>
      </c>
    </row>
    <row r="216" spans="1:25" x14ac:dyDescent="0.25">
      <c r="A216" s="60"/>
      <c r="B216" s="90" t="str">
        <f>IF(I214="","",CONCATENATE("Steel deformed bars, ",P214," mm dia"))</f>
        <v/>
      </c>
      <c r="C216" s="31" t="str">
        <f>IF(I214="","",S214)</f>
        <v/>
      </c>
      <c r="D216" s="27" t="str">
        <f>IF(I214="","","kg")</f>
        <v/>
      </c>
      <c r="E216" s="28"/>
      <c r="F216" s="34" t="str">
        <f t="shared" si="11"/>
        <v/>
      </c>
    </row>
    <row r="217" spans="1:25" x14ac:dyDescent="0.25">
      <c r="A217" s="60"/>
      <c r="B217" s="90" t="s">
        <v>98</v>
      </c>
      <c r="C217" s="31">
        <v>1</v>
      </c>
      <c r="D217" s="27" t="s">
        <v>124</v>
      </c>
      <c r="E217" s="28"/>
      <c r="F217" s="34">
        <f t="shared" si="11"/>
        <v>0</v>
      </c>
    </row>
    <row r="218" spans="1:25" x14ac:dyDescent="0.25">
      <c r="A218" s="60"/>
      <c r="B218" s="90"/>
      <c r="C218" s="31"/>
      <c r="D218" s="27"/>
      <c r="E218" s="28"/>
      <c r="F218" s="34" t="str">
        <f t="shared" si="11"/>
        <v/>
      </c>
    </row>
    <row r="219" spans="1:25" x14ac:dyDescent="0.25">
      <c r="A219" s="60"/>
      <c r="B219" s="88" t="s">
        <v>1</v>
      </c>
      <c r="C219" s="31"/>
      <c r="D219" s="27"/>
      <c r="E219" s="28"/>
      <c r="F219" s="34" t="str">
        <f t="shared" si="11"/>
        <v/>
      </c>
    </row>
    <row r="220" spans="1:25" ht="38.25" x14ac:dyDescent="0.25">
      <c r="A220" s="60"/>
      <c r="B220" s="2" t="s">
        <v>99</v>
      </c>
      <c r="C220" s="225">
        <f>+O213</f>
        <v>55.523399999999995</v>
      </c>
      <c r="D220" s="226" t="s">
        <v>23</v>
      </c>
      <c r="E220" s="28"/>
      <c r="F220" s="34">
        <f t="shared" si="11"/>
        <v>0</v>
      </c>
    </row>
    <row r="221" spans="1:25" x14ac:dyDescent="0.25">
      <c r="A221" s="60"/>
      <c r="B221" s="2"/>
      <c r="C221" s="31"/>
      <c r="D221" s="27"/>
      <c r="E221" s="28"/>
      <c r="F221" s="34" t="str">
        <f>IF(E221="",IF(C221="","",C221*E221),C221*E221)</f>
        <v/>
      </c>
    </row>
    <row r="222" spans="1:25" x14ac:dyDescent="0.25">
      <c r="A222" s="86"/>
      <c r="B222" s="14" t="s">
        <v>247</v>
      </c>
      <c r="C222" s="27"/>
      <c r="D222" s="27"/>
      <c r="E222" s="28"/>
      <c r="F222" s="34" t="str">
        <f t="shared" ref="F222:F240" si="12">IF(E222="",IF(C222="","",C222*E222),C222*E222)</f>
        <v/>
      </c>
    </row>
    <row r="223" spans="1:25" ht="15.75" x14ac:dyDescent="0.25">
      <c r="A223" s="60"/>
      <c r="B223" s="2" t="s">
        <v>123</v>
      </c>
      <c r="C223" s="31">
        <f>L226</f>
        <v>9.1987199999999998</v>
      </c>
      <c r="D223" s="27" t="s">
        <v>83</v>
      </c>
      <c r="E223" s="28"/>
      <c r="F223" s="34">
        <f t="shared" si="12"/>
        <v>0</v>
      </c>
    </row>
    <row r="224" spans="1:25" x14ac:dyDescent="0.25">
      <c r="A224" s="86"/>
      <c r="B224" s="36" t="s">
        <v>0</v>
      </c>
      <c r="C224" s="31"/>
      <c r="D224" s="27"/>
      <c r="E224" s="28"/>
      <c r="F224" s="34" t="str">
        <f t="shared" si="12"/>
        <v/>
      </c>
      <c r="P224" t="s">
        <v>220</v>
      </c>
    </row>
    <row r="225" spans="1:26" x14ac:dyDescent="0.25">
      <c r="A225" s="60"/>
      <c r="B225" s="90" t="s">
        <v>253</v>
      </c>
      <c r="C225" s="31">
        <f>Z226</f>
        <v>1094.0041481481483</v>
      </c>
      <c r="D225" s="27" t="s">
        <v>157</v>
      </c>
      <c r="E225" s="28"/>
      <c r="F225" s="34">
        <f t="shared" si="12"/>
        <v>0</v>
      </c>
      <c r="I225" t="s">
        <v>204</v>
      </c>
      <c r="J225" t="s">
        <v>27</v>
      </c>
      <c r="K225" t="s">
        <v>200</v>
      </c>
      <c r="L225" t="s">
        <v>219</v>
      </c>
      <c r="M225" t="s">
        <v>223</v>
      </c>
      <c r="P225" t="s">
        <v>221</v>
      </c>
      <c r="Q225" t="s">
        <v>10</v>
      </c>
      <c r="R225" t="s">
        <v>222</v>
      </c>
      <c r="S225" t="s">
        <v>205</v>
      </c>
      <c r="U225" s="224" t="s">
        <v>206</v>
      </c>
      <c r="V225" s="224" t="s">
        <v>207</v>
      </c>
      <c r="W225" s="224" t="s">
        <v>208</v>
      </c>
      <c r="X225" s="224" t="s">
        <v>209</v>
      </c>
      <c r="Y225" s="224" t="s">
        <v>210</v>
      </c>
      <c r="Z225" s="224" t="s">
        <v>205</v>
      </c>
    </row>
    <row r="226" spans="1:26" x14ac:dyDescent="0.25">
      <c r="A226" s="60"/>
      <c r="B226" s="90" t="s">
        <v>254</v>
      </c>
      <c r="C226" s="31">
        <f>S226</f>
        <v>2820.9116809116813</v>
      </c>
      <c r="D226" s="27" t="s">
        <v>157</v>
      </c>
      <c r="E226" s="28"/>
      <c r="F226" s="34">
        <f t="shared" si="12"/>
        <v>0</v>
      </c>
      <c r="I226" s="236">
        <f>19.164*2</f>
        <v>38.328000000000003</v>
      </c>
      <c r="J226" s="236">
        <v>0.8</v>
      </c>
      <c r="K226" s="236">
        <v>0.3</v>
      </c>
      <c r="L226" s="237">
        <f>K226*J226*I226</f>
        <v>9.1987199999999998</v>
      </c>
      <c r="M226">
        <f>(J226+J226+K226)*I226</f>
        <v>72.823200000000014</v>
      </c>
      <c r="P226" s="236">
        <v>25</v>
      </c>
      <c r="Q226" s="236">
        <v>16</v>
      </c>
      <c r="R226">
        <f>((((I226/5.2)*(40*P226))/1000)+I226)*Q226</f>
        <v>731.18030769230779</v>
      </c>
      <c r="S226">
        <f>((R226*(P226*P226))/162)</f>
        <v>2820.9116809116813</v>
      </c>
      <c r="V226" s="223">
        <v>1</v>
      </c>
      <c r="W226" s="223">
        <v>0.15</v>
      </c>
      <c r="X226">
        <f>(I226*V226)/W226</f>
        <v>255.52000000000004</v>
      </c>
      <c r="Y226">
        <f>(1.734*4)*X226</f>
        <v>1772.2867200000003</v>
      </c>
      <c r="Z226">
        <f>((10*10)*Y226)/162</f>
        <v>1094.0041481481483</v>
      </c>
    </row>
    <row r="227" spans="1:26" x14ac:dyDescent="0.25">
      <c r="A227" s="60"/>
      <c r="B227" s="90" t="s">
        <v>252</v>
      </c>
      <c r="C227" s="31">
        <f>S227</f>
        <v>272.08876125356124</v>
      </c>
      <c r="D227" s="27" t="s">
        <v>157</v>
      </c>
      <c r="E227" s="28"/>
      <c r="F227" s="34">
        <f t="shared" ref="F227" si="13">IF(E227="",IF(C227="","",C227*E227),C227*E227)</f>
        <v>0</v>
      </c>
      <c r="I227" s="236">
        <f>19.164*2</f>
        <v>38.328000000000003</v>
      </c>
      <c r="J227" s="236">
        <v>0.3</v>
      </c>
      <c r="K227" s="236">
        <v>0.2</v>
      </c>
      <c r="L227" s="237">
        <f>K227*J227*I227</f>
        <v>2.2996799999999999</v>
      </c>
      <c r="M227">
        <f>(J227+J227+K227)*I227</f>
        <v>30.662400000000005</v>
      </c>
      <c r="P227" s="236">
        <v>16</v>
      </c>
      <c r="Q227" s="236">
        <v>4</v>
      </c>
      <c r="R227">
        <f>((((I227/5.2)*(40*P227))/1000)+I227)*Q227</f>
        <v>172.18116923076923</v>
      </c>
      <c r="S227">
        <f>((R227*(P227*P227))/162)</f>
        <v>272.08876125356124</v>
      </c>
      <c r="V227" s="223">
        <v>1</v>
      </c>
      <c r="W227" s="223">
        <v>0.15</v>
      </c>
      <c r="X227">
        <f>(I227*V227)/W227</f>
        <v>255.52000000000004</v>
      </c>
      <c r="Y227">
        <f>(1.734*4)*X227</f>
        <v>1772.2867200000003</v>
      </c>
      <c r="Z227">
        <f>((6*6)*Y227)/162</f>
        <v>393.8414933333334</v>
      </c>
    </row>
    <row r="228" spans="1:26" x14ac:dyDescent="0.25">
      <c r="A228" s="60"/>
      <c r="B228" s="90" t="s">
        <v>98</v>
      </c>
      <c r="C228" s="31">
        <v>1</v>
      </c>
      <c r="D228" s="27" t="s">
        <v>124</v>
      </c>
      <c r="E228" s="28"/>
      <c r="F228" s="34">
        <f t="shared" si="12"/>
        <v>0</v>
      </c>
    </row>
    <row r="229" spans="1:26" x14ac:dyDescent="0.25">
      <c r="A229" s="60"/>
      <c r="B229" s="88" t="s">
        <v>1</v>
      </c>
      <c r="C229" s="31"/>
      <c r="D229" s="27"/>
      <c r="E229" s="28"/>
      <c r="F229" s="34" t="str">
        <f t="shared" si="12"/>
        <v/>
      </c>
    </row>
    <row r="230" spans="1:26" ht="43.5" customHeight="1" x14ac:dyDescent="0.25">
      <c r="A230" s="60"/>
      <c r="B230" s="2" t="s">
        <v>99</v>
      </c>
      <c r="C230" s="31">
        <f>M226</f>
        <v>72.823200000000014</v>
      </c>
      <c r="D230" s="27" t="s">
        <v>23</v>
      </c>
      <c r="E230" s="28"/>
      <c r="F230" s="34">
        <f t="shared" si="12"/>
        <v>0</v>
      </c>
    </row>
    <row r="231" spans="1:26" x14ac:dyDescent="0.25">
      <c r="A231" s="86"/>
      <c r="B231" s="14" t="s">
        <v>248</v>
      </c>
      <c r="C231" s="27"/>
      <c r="D231" s="27"/>
      <c r="E231" s="28"/>
      <c r="F231" s="34" t="str">
        <f t="shared" si="12"/>
        <v/>
      </c>
    </row>
    <row r="232" spans="1:26" ht="15.75" x14ac:dyDescent="0.25">
      <c r="A232" s="60"/>
      <c r="B232" s="2" t="s">
        <v>123</v>
      </c>
      <c r="C232" s="31">
        <f>L235</f>
        <v>2.2993200000000003</v>
      </c>
      <c r="D232" s="27" t="s">
        <v>83</v>
      </c>
      <c r="E232" s="28"/>
      <c r="F232" s="34">
        <f t="shared" si="12"/>
        <v>0</v>
      </c>
    </row>
    <row r="233" spans="1:26" x14ac:dyDescent="0.25">
      <c r="A233" s="86"/>
      <c r="B233" s="36" t="s">
        <v>0</v>
      </c>
      <c r="C233" s="31"/>
      <c r="D233" s="27"/>
      <c r="E233" s="28"/>
      <c r="F233" s="34" t="str">
        <f t="shared" si="12"/>
        <v/>
      </c>
      <c r="P233" t="s">
        <v>220</v>
      </c>
    </row>
    <row r="234" spans="1:26" x14ac:dyDescent="0.25">
      <c r="A234" s="60"/>
      <c r="B234" s="90" t="s">
        <v>253</v>
      </c>
      <c r="C234" s="31">
        <f>Z235</f>
        <v>1093.8328888888889</v>
      </c>
      <c r="D234" s="27" t="s">
        <v>157</v>
      </c>
      <c r="E234" s="28"/>
      <c r="F234" s="34">
        <f t="shared" si="12"/>
        <v>0</v>
      </c>
      <c r="I234" t="s">
        <v>204</v>
      </c>
      <c r="J234" t="s">
        <v>27</v>
      </c>
      <c r="K234" t="s">
        <v>200</v>
      </c>
      <c r="L234" t="s">
        <v>219</v>
      </c>
      <c r="M234" t="s">
        <v>223</v>
      </c>
      <c r="P234" t="s">
        <v>221</v>
      </c>
      <c r="Q234" t="s">
        <v>10</v>
      </c>
      <c r="R234" t="s">
        <v>222</v>
      </c>
      <c r="S234" t="s">
        <v>205</v>
      </c>
      <c r="U234" s="224" t="s">
        <v>206</v>
      </c>
      <c r="V234" s="224" t="s">
        <v>207</v>
      </c>
      <c r="W234" s="224" t="s">
        <v>208</v>
      </c>
      <c r="X234" s="224" t="s">
        <v>209</v>
      </c>
      <c r="Y234" s="224" t="s">
        <v>210</v>
      </c>
      <c r="Z234" s="224" t="s">
        <v>205</v>
      </c>
    </row>
    <row r="235" spans="1:26" x14ac:dyDescent="0.25">
      <c r="A235" s="60"/>
      <c r="B235" s="90" t="s">
        <v>251</v>
      </c>
      <c r="C235" s="31">
        <f>S235</f>
        <v>1410.2350427350427</v>
      </c>
      <c r="D235" s="27" t="s">
        <v>157</v>
      </c>
      <c r="E235" s="28"/>
      <c r="F235" s="34">
        <f t="shared" si="12"/>
        <v>0</v>
      </c>
      <c r="I235" s="236">
        <f>19.161*2</f>
        <v>38.322000000000003</v>
      </c>
      <c r="J235" s="236">
        <v>0.3</v>
      </c>
      <c r="K235" s="236">
        <v>0.2</v>
      </c>
      <c r="L235" s="237">
        <f>K235*J235*I235</f>
        <v>2.2993200000000003</v>
      </c>
      <c r="M235">
        <f>(J235+J235+K235)*I235</f>
        <v>30.657600000000002</v>
      </c>
      <c r="P235" s="236">
        <v>25</v>
      </c>
      <c r="Q235" s="236">
        <v>8</v>
      </c>
      <c r="R235">
        <f>((((I235/5.2)*(40*P235))/1000)+I235)*Q235</f>
        <v>365.53292307692311</v>
      </c>
      <c r="S235">
        <f>((R235*(P235*P235))/162)</f>
        <v>1410.2350427350427</v>
      </c>
      <c r="V235" s="223">
        <v>1</v>
      </c>
      <c r="W235" s="223">
        <v>0.15</v>
      </c>
      <c r="X235">
        <f>(I235*V235)/W235</f>
        <v>255.48000000000002</v>
      </c>
      <c r="Y235">
        <f>(1.734*4)*X235</f>
        <v>1772.0092800000002</v>
      </c>
      <c r="Z235">
        <f>((10*10)*Y235)/162</f>
        <v>1093.8328888888889</v>
      </c>
    </row>
    <row r="236" spans="1:26" x14ac:dyDescent="0.25">
      <c r="A236" s="60"/>
      <c r="B236" s="90" t="s">
        <v>237</v>
      </c>
      <c r="C236" s="31">
        <f>S236</f>
        <v>873.57264957264965</v>
      </c>
      <c r="D236" s="27" t="s">
        <v>157</v>
      </c>
      <c r="E236" s="28"/>
      <c r="F236" s="34">
        <f t="shared" si="12"/>
        <v>0</v>
      </c>
      <c r="I236" s="236">
        <f>19.164*2</f>
        <v>38.328000000000003</v>
      </c>
      <c r="J236" s="236">
        <v>0.3</v>
      </c>
      <c r="K236" s="236">
        <v>0.2</v>
      </c>
      <c r="L236" s="237">
        <f>K236*J236*I236</f>
        <v>2.2996799999999999</v>
      </c>
      <c r="M236">
        <f>(J236+J236+K236)*I236</f>
        <v>30.662400000000005</v>
      </c>
      <c r="P236" s="236">
        <v>20</v>
      </c>
      <c r="Q236" s="236">
        <v>8</v>
      </c>
      <c r="R236">
        <f>((((I236/5.2)*(40*P236))/1000)+I236)*Q236</f>
        <v>353.79692307692312</v>
      </c>
      <c r="S236">
        <f>((R236*(P236*P236))/162)</f>
        <v>873.57264957264965</v>
      </c>
      <c r="V236" s="223">
        <v>1</v>
      </c>
      <c r="W236" s="223">
        <v>0.15</v>
      </c>
      <c r="X236">
        <f>(I236*V236)/W236</f>
        <v>255.52000000000004</v>
      </c>
      <c r="Y236">
        <f t="shared" ref="Y236:Y237" si="14">(1.734*4)*X236</f>
        <v>1772.2867200000003</v>
      </c>
      <c r="Z236">
        <f>((6*6)*Y236)/162</f>
        <v>393.8414933333334</v>
      </c>
    </row>
    <row r="237" spans="1:26" x14ac:dyDescent="0.25">
      <c r="A237" s="60"/>
      <c r="B237" s="90" t="s">
        <v>252</v>
      </c>
      <c r="C237" s="31">
        <f>S237</f>
        <v>272.08876125356124</v>
      </c>
      <c r="D237" s="27" t="s">
        <v>157</v>
      </c>
      <c r="E237" s="28"/>
      <c r="F237" s="34">
        <f t="shared" ref="F237" si="15">IF(E237="",IF(C237="","",C237*E237),C237*E237)</f>
        <v>0</v>
      </c>
      <c r="I237" s="236">
        <f>19.164*2</f>
        <v>38.328000000000003</v>
      </c>
      <c r="J237" s="236">
        <v>0.3</v>
      </c>
      <c r="K237" s="236">
        <v>0.2</v>
      </c>
      <c r="L237" s="237">
        <f>K237*J237*I237</f>
        <v>2.2996799999999999</v>
      </c>
      <c r="M237">
        <f>(J237+J237+K237)*I237</f>
        <v>30.662400000000005</v>
      </c>
      <c r="P237" s="236">
        <v>16</v>
      </c>
      <c r="Q237" s="236">
        <v>4</v>
      </c>
      <c r="R237">
        <f>((((I237/5.2)*(40*P237))/1000)+I237)*Q237</f>
        <v>172.18116923076923</v>
      </c>
      <c r="S237">
        <f>((R237*(P237*P237))/162)</f>
        <v>272.08876125356124</v>
      </c>
      <c r="V237" s="223">
        <v>1</v>
      </c>
      <c r="W237" s="223">
        <v>0.15</v>
      </c>
      <c r="X237">
        <f>(I237*V237)/W237</f>
        <v>255.52000000000004</v>
      </c>
      <c r="Y237">
        <f t="shared" si="14"/>
        <v>1772.2867200000003</v>
      </c>
      <c r="Z237">
        <f>((6*6)*Y237)/162</f>
        <v>393.8414933333334</v>
      </c>
    </row>
    <row r="238" spans="1:26" x14ac:dyDescent="0.25">
      <c r="A238" s="60"/>
      <c r="B238" s="90" t="s">
        <v>98</v>
      </c>
      <c r="C238" s="31">
        <v>1</v>
      </c>
      <c r="D238" s="27" t="s">
        <v>124</v>
      </c>
      <c r="E238" s="28"/>
      <c r="F238" s="34">
        <f t="shared" si="12"/>
        <v>0</v>
      </c>
    </row>
    <row r="239" spans="1:26" x14ac:dyDescent="0.25">
      <c r="A239" s="60"/>
      <c r="B239" s="88" t="s">
        <v>1</v>
      </c>
      <c r="C239" s="31"/>
      <c r="D239" s="27"/>
      <c r="E239" s="28"/>
      <c r="F239" s="34" t="str">
        <f t="shared" si="12"/>
        <v/>
      </c>
    </row>
    <row r="240" spans="1:26" ht="43.5" customHeight="1" x14ac:dyDescent="0.25">
      <c r="A240" s="60"/>
      <c r="B240" s="2" t="s">
        <v>99</v>
      </c>
      <c r="C240" s="31">
        <f>M235</f>
        <v>30.657600000000002</v>
      </c>
      <c r="D240" s="27" t="s">
        <v>23</v>
      </c>
      <c r="E240" s="28"/>
      <c r="F240" s="34">
        <f t="shared" si="12"/>
        <v>0</v>
      </c>
    </row>
    <row r="241" spans="1:26" x14ac:dyDescent="0.25">
      <c r="A241" s="60"/>
      <c r="B241" s="2"/>
      <c r="C241" s="31"/>
      <c r="D241" s="27"/>
      <c r="E241" s="28"/>
      <c r="F241" s="34" t="str">
        <f>IF(E241="",IF(C241="","",C241*E241),C241*E241)</f>
        <v/>
      </c>
    </row>
    <row r="242" spans="1:26" x14ac:dyDescent="0.25">
      <c r="A242" s="60"/>
      <c r="B242" s="2"/>
      <c r="C242" s="31"/>
      <c r="D242" s="27"/>
      <c r="E242" s="28"/>
      <c r="F242" s="34" t="str">
        <f>IF(E242="",IF(C242="","",C242*E242),C242*E242)</f>
        <v/>
      </c>
    </row>
    <row r="243" spans="1:26" x14ac:dyDescent="0.25">
      <c r="A243" s="86"/>
      <c r="B243" s="14" t="s">
        <v>249</v>
      </c>
      <c r="C243" s="27"/>
      <c r="D243" s="27"/>
      <c r="E243" s="28"/>
      <c r="F243" s="34" t="str">
        <f t="shared" ref="F243:F252" si="16">IF(E243="",IF(C243="","",C243*E243),C243*E243)</f>
        <v/>
      </c>
    </row>
    <row r="244" spans="1:26" ht="15.75" x14ac:dyDescent="0.25">
      <c r="A244" s="60"/>
      <c r="B244" s="2" t="s">
        <v>123</v>
      </c>
      <c r="C244" s="31">
        <f>L247</f>
        <v>15.671040000000001</v>
      </c>
      <c r="D244" s="27" t="s">
        <v>83</v>
      </c>
      <c r="E244" s="28"/>
      <c r="F244" s="34">
        <f t="shared" si="16"/>
        <v>0</v>
      </c>
    </row>
    <row r="245" spans="1:26" x14ac:dyDescent="0.25">
      <c r="A245" s="86"/>
      <c r="B245" s="36" t="s">
        <v>0</v>
      </c>
      <c r="C245" s="31"/>
      <c r="D245" s="27"/>
      <c r="E245" s="28"/>
      <c r="F245" s="34" t="str">
        <f t="shared" si="16"/>
        <v/>
      </c>
      <c r="P245" t="s">
        <v>220</v>
      </c>
    </row>
    <row r="246" spans="1:26" x14ac:dyDescent="0.25">
      <c r="A246" s="60"/>
      <c r="B246" s="90" t="s">
        <v>2</v>
      </c>
      <c r="C246" s="31">
        <f>Z247</f>
        <v>179.4430814814815</v>
      </c>
      <c r="D246" s="27" t="s">
        <v>157</v>
      </c>
      <c r="E246" s="28"/>
      <c r="F246" s="34">
        <f t="shared" si="16"/>
        <v>0</v>
      </c>
      <c r="I246" t="s">
        <v>204</v>
      </c>
      <c r="J246" t="s">
        <v>27</v>
      </c>
      <c r="K246" t="s">
        <v>200</v>
      </c>
      <c r="L246" t="s">
        <v>219</v>
      </c>
      <c r="M246" t="s">
        <v>223</v>
      </c>
      <c r="P246" t="s">
        <v>221</v>
      </c>
      <c r="Q246" t="s">
        <v>10</v>
      </c>
      <c r="R246" t="s">
        <v>222</v>
      </c>
      <c r="S246" t="s">
        <v>205</v>
      </c>
      <c r="U246" s="224" t="s">
        <v>206</v>
      </c>
      <c r="V246" s="224" t="s">
        <v>207</v>
      </c>
      <c r="W246" s="224" t="s">
        <v>208</v>
      </c>
      <c r="X246" s="224" t="s">
        <v>209</v>
      </c>
      <c r="Y246" s="224" t="s">
        <v>210</v>
      </c>
      <c r="Z246" s="224" t="s">
        <v>205</v>
      </c>
    </row>
    <row r="247" spans="1:26" x14ac:dyDescent="0.25">
      <c r="A247" s="60"/>
      <c r="B247" s="90" t="s">
        <v>237</v>
      </c>
      <c r="C247" s="31">
        <f>S247</f>
        <v>744.11396011396016</v>
      </c>
      <c r="D247" s="27" t="s">
        <v>157</v>
      </c>
      <c r="E247" s="28"/>
      <c r="F247" s="34">
        <f t="shared" si="16"/>
        <v>0</v>
      </c>
      <c r="I247" s="236">
        <v>65.296000000000006</v>
      </c>
      <c r="J247" s="236">
        <v>0.8</v>
      </c>
      <c r="K247" s="236">
        <v>0.3</v>
      </c>
      <c r="L247" s="237">
        <f>K247*J247*I247</f>
        <v>15.671040000000001</v>
      </c>
      <c r="M247">
        <f>(J247+J247+K247)*I247</f>
        <v>124.06240000000003</v>
      </c>
      <c r="P247" s="236">
        <v>20</v>
      </c>
      <c r="Q247" s="236">
        <v>4</v>
      </c>
      <c r="R247">
        <f>((((I247/5.2)*(40*P247))/1000)+I247)*Q247</f>
        <v>301.36615384615385</v>
      </c>
      <c r="S247">
        <f>((R247*(P247*P247))/162)</f>
        <v>744.11396011396016</v>
      </c>
      <c r="V247" s="223">
        <v>1</v>
      </c>
      <c r="W247" s="223">
        <v>0.15</v>
      </c>
      <c r="X247">
        <f>(I247*V247)/W247</f>
        <v>435.30666666666673</v>
      </c>
      <c r="Y247">
        <f>(1.855)*X247</f>
        <v>807.4938666666668</v>
      </c>
      <c r="Z247">
        <f>((6*6)*Y247)/162</f>
        <v>179.4430814814815</v>
      </c>
    </row>
    <row r="248" spans="1:26" x14ac:dyDescent="0.25">
      <c r="A248" s="60"/>
      <c r="B248" s="90" t="s">
        <v>252</v>
      </c>
      <c r="C248" s="31">
        <f>S248</f>
        <v>272.08876125356124</v>
      </c>
      <c r="D248" s="27" t="s">
        <v>157</v>
      </c>
      <c r="E248" s="28"/>
      <c r="F248" s="34">
        <f t="shared" si="16"/>
        <v>0</v>
      </c>
      <c r="I248" s="236">
        <f>19.164*2</f>
        <v>38.328000000000003</v>
      </c>
      <c r="J248" s="236">
        <v>0.3</v>
      </c>
      <c r="K248" s="236">
        <v>0.2</v>
      </c>
      <c r="L248" s="237">
        <f>K248*J248*I248</f>
        <v>2.2996799999999999</v>
      </c>
      <c r="M248">
        <f>(J248+J248+K248)*I248</f>
        <v>30.662400000000005</v>
      </c>
      <c r="P248" s="236">
        <v>16</v>
      </c>
      <c r="Q248" s="236">
        <v>4</v>
      </c>
      <c r="R248">
        <f>((((I248/5.2)*(40*P248))/1000)+I248)*Q248</f>
        <v>172.18116923076923</v>
      </c>
      <c r="S248">
        <f>((R248*(P248*P248))/162)</f>
        <v>272.08876125356124</v>
      </c>
      <c r="V248" s="223">
        <v>1</v>
      </c>
      <c r="W248" s="223">
        <v>0.15</v>
      </c>
      <c r="X248">
        <f>(I248*V248)/W248</f>
        <v>255.52000000000004</v>
      </c>
      <c r="Y248">
        <f t="shared" ref="Y248:Y249" si="17">(1.734*4)*X248</f>
        <v>1772.2867200000003</v>
      </c>
      <c r="Z248">
        <f>((6*6)*Y248)/162</f>
        <v>393.8414933333334</v>
      </c>
    </row>
    <row r="249" spans="1:26" x14ac:dyDescent="0.25">
      <c r="A249" s="60"/>
      <c r="B249" s="90" t="s">
        <v>3</v>
      </c>
      <c r="C249" s="31">
        <f>S249</f>
        <v>148.85677948717949</v>
      </c>
      <c r="D249" s="27" t="s">
        <v>157</v>
      </c>
      <c r="E249" s="28"/>
      <c r="F249" s="34">
        <f t="shared" ref="F249" si="18">IF(E249="",IF(C249="","",C249*E249),C249*E249)</f>
        <v>0</v>
      </c>
      <c r="I249" s="236">
        <f>19.164*2</f>
        <v>38.328000000000003</v>
      </c>
      <c r="J249" s="236">
        <v>0.3</v>
      </c>
      <c r="K249" s="236">
        <v>0.2</v>
      </c>
      <c r="L249" s="237">
        <f>K249*J249*I249</f>
        <v>2.2996799999999999</v>
      </c>
      <c r="M249">
        <f>(J249+J249+K249)*I249</f>
        <v>30.662400000000005</v>
      </c>
      <c r="P249" s="236">
        <v>12</v>
      </c>
      <c r="Q249" s="236">
        <v>4</v>
      </c>
      <c r="R249">
        <f>((((I249/5.2)*(40*P249))/1000)+I249)*Q249</f>
        <v>167.46387692307692</v>
      </c>
      <c r="S249">
        <f>((R249*(P249*P249))/162)</f>
        <v>148.85677948717949</v>
      </c>
      <c r="V249" s="223">
        <v>1</v>
      </c>
      <c r="W249" s="223">
        <v>0.15</v>
      </c>
      <c r="X249">
        <f>(I249*V249)/W249</f>
        <v>255.52000000000004</v>
      </c>
      <c r="Y249">
        <f t="shared" si="17"/>
        <v>1772.2867200000003</v>
      </c>
      <c r="Z249">
        <f>((6*6)*Y249)/162</f>
        <v>393.8414933333334</v>
      </c>
    </row>
    <row r="250" spans="1:26" x14ac:dyDescent="0.25">
      <c r="A250" s="60"/>
      <c r="B250" s="90" t="s">
        <v>98</v>
      </c>
      <c r="C250" s="31">
        <v>1</v>
      </c>
      <c r="D250" s="27" t="s">
        <v>124</v>
      </c>
      <c r="E250" s="28"/>
      <c r="F250" s="34">
        <f t="shared" si="16"/>
        <v>0</v>
      </c>
    </row>
    <row r="251" spans="1:26" x14ac:dyDescent="0.25">
      <c r="A251" s="60"/>
      <c r="B251" s="88" t="s">
        <v>1</v>
      </c>
      <c r="C251" s="31"/>
      <c r="D251" s="27"/>
      <c r="E251" s="28"/>
      <c r="F251" s="34" t="str">
        <f t="shared" si="16"/>
        <v/>
      </c>
    </row>
    <row r="252" spans="1:26" ht="43.5" customHeight="1" x14ac:dyDescent="0.25">
      <c r="A252" s="60"/>
      <c r="B252" s="2" t="s">
        <v>99</v>
      </c>
      <c r="C252" s="31">
        <f>M247</f>
        <v>124.06240000000003</v>
      </c>
      <c r="D252" s="27" t="s">
        <v>23</v>
      </c>
      <c r="E252" s="28"/>
      <c r="F252" s="34">
        <f t="shared" si="16"/>
        <v>0</v>
      </c>
    </row>
    <row r="253" spans="1:26" x14ac:dyDescent="0.25">
      <c r="A253" s="60"/>
      <c r="B253" s="2"/>
      <c r="C253" s="31"/>
      <c r="D253" s="27"/>
      <c r="E253" s="28"/>
      <c r="F253" s="34" t="str">
        <f>IF(E253="",IF(C253="","",C253*E253),C253*E253)</f>
        <v/>
      </c>
    </row>
    <row r="254" spans="1:26" x14ac:dyDescent="0.25">
      <c r="A254" s="86"/>
      <c r="B254" s="14" t="s">
        <v>250</v>
      </c>
      <c r="C254" s="27"/>
      <c r="D254" s="27"/>
      <c r="E254" s="28"/>
      <c r="F254" s="34" t="str">
        <f t="shared" ref="F254:F262" si="19">IF(E254="",IF(C254="","",C254*E254),C254*E254)</f>
        <v/>
      </c>
    </row>
    <row r="255" spans="1:26" ht="15.75" x14ac:dyDescent="0.25">
      <c r="A255" s="60"/>
      <c r="B255" s="2" t="s">
        <v>123</v>
      </c>
      <c r="C255" s="31">
        <f>L258</f>
        <v>7.7373000000000012</v>
      </c>
      <c r="D255" s="27" t="s">
        <v>83</v>
      </c>
      <c r="E255" s="28"/>
      <c r="F255" s="34">
        <f t="shared" si="19"/>
        <v>0</v>
      </c>
    </row>
    <row r="256" spans="1:26" x14ac:dyDescent="0.25">
      <c r="A256" s="86"/>
      <c r="B256" s="36" t="s">
        <v>0</v>
      </c>
      <c r="C256" s="31"/>
      <c r="D256" s="27"/>
      <c r="E256" s="28"/>
      <c r="F256" s="34" t="str">
        <f t="shared" si="19"/>
        <v/>
      </c>
      <c r="P256" t="s">
        <v>220</v>
      </c>
    </row>
    <row r="257" spans="1:26" x14ac:dyDescent="0.25">
      <c r="A257" s="60"/>
      <c r="B257" s="90" t="s">
        <v>2</v>
      </c>
      <c r="C257" s="31">
        <f>Z258</f>
        <v>290.23471999999998</v>
      </c>
      <c r="D257" s="27" t="s">
        <v>157</v>
      </c>
      <c r="E257" s="28"/>
      <c r="F257" s="34">
        <f t="shared" si="19"/>
        <v>0</v>
      </c>
      <c r="I257" t="s">
        <v>204</v>
      </c>
      <c r="J257" t="s">
        <v>27</v>
      </c>
      <c r="K257" t="s">
        <v>200</v>
      </c>
      <c r="L257" t="s">
        <v>219</v>
      </c>
      <c r="M257" t="s">
        <v>223</v>
      </c>
      <c r="P257" t="s">
        <v>221</v>
      </c>
      <c r="Q257" t="s">
        <v>10</v>
      </c>
      <c r="R257" t="s">
        <v>222</v>
      </c>
      <c r="S257" t="s">
        <v>205</v>
      </c>
      <c r="U257" s="224" t="s">
        <v>206</v>
      </c>
      <c r="V257" s="224" t="s">
        <v>207</v>
      </c>
      <c r="W257" s="224" t="s">
        <v>208</v>
      </c>
      <c r="X257" s="224" t="s">
        <v>209</v>
      </c>
      <c r="Y257" s="224" t="s">
        <v>210</v>
      </c>
      <c r="Z257" s="224" t="s">
        <v>205</v>
      </c>
    </row>
    <row r="258" spans="1:26" x14ac:dyDescent="0.25">
      <c r="A258" s="60"/>
      <c r="B258" s="90" t="s">
        <v>237</v>
      </c>
      <c r="C258" s="31">
        <f>S258</f>
        <v>1322.6153846153848</v>
      </c>
      <c r="D258" s="27" t="s">
        <v>157</v>
      </c>
      <c r="E258" s="28"/>
      <c r="F258" s="34">
        <f t="shared" si="19"/>
        <v>0</v>
      </c>
      <c r="I258" s="236">
        <v>77.373000000000005</v>
      </c>
      <c r="J258" s="236">
        <v>0.5</v>
      </c>
      <c r="K258" s="236">
        <v>0.2</v>
      </c>
      <c r="L258" s="237">
        <f>K258*J258*I258</f>
        <v>7.7373000000000012</v>
      </c>
      <c r="M258">
        <f>(J258+J258+K258)*I258</f>
        <v>92.8476</v>
      </c>
      <c r="P258" s="236">
        <v>20</v>
      </c>
      <c r="Q258" s="236">
        <v>6</v>
      </c>
      <c r="R258">
        <f>((((I258/5.2)*(40*P258))/1000)+I258)*Q258</f>
        <v>535.65923076923082</v>
      </c>
      <c r="S258">
        <f>((R258*(P258*P258))/162)</f>
        <v>1322.6153846153848</v>
      </c>
      <c r="V258" s="223">
        <v>2</v>
      </c>
      <c r="W258" s="223">
        <v>0.125</v>
      </c>
      <c r="X258">
        <f>(I258*V258)/W258</f>
        <v>1237.9680000000001</v>
      </c>
      <c r="Y258">
        <f>(1.055)*X258</f>
        <v>1306.0562399999999</v>
      </c>
      <c r="Z258">
        <f>((6*6)*Y258)/162</f>
        <v>290.23471999999998</v>
      </c>
    </row>
    <row r="259" spans="1:26" x14ac:dyDescent="0.25">
      <c r="A259" s="60"/>
      <c r="B259" s="90" t="s">
        <v>3</v>
      </c>
      <c r="C259" s="31">
        <f>S259</f>
        <v>150.24910769230769</v>
      </c>
      <c r="D259" s="27" t="s">
        <v>157</v>
      </c>
      <c r="E259" s="28"/>
      <c r="F259" s="34">
        <f t="shared" ref="F259" si="20">IF(E259="",IF(C259="","",C259*E259),C259*E259)</f>
        <v>0</v>
      </c>
      <c r="I259" s="236">
        <v>77.373000000000005</v>
      </c>
      <c r="J259" s="236">
        <v>0.3</v>
      </c>
      <c r="K259" s="236">
        <v>0.2</v>
      </c>
      <c r="L259" s="237">
        <f>K259*J259*I259</f>
        <v>4.6423800000000002</v>
      </c>
      <c r="M259">
        <f>(J259+J259+K259)*I259</f>
        <v>61.898400000000009</v>
      </c>
      <c r="P259" s="236">
        <v>12</v>
      </c>
      <c r="Q259" s="236">
        <v>2</v>
      </c>
      <c r="R259">
        <f>((((I259/5.2)*(40*P259))/1000)+I259)*Q259</f>
        <v>169.03024615384615</v>
      </c>
      <c r="S259">
        <f>((R259*(P259*P259))/162)</f>
        <v>150.24910769230769</v>
      </c>
      <c r="V259" s="223">
        <v>1</v>
      </c>
      <c r="W259" s="223">
        <v>0.15</v>
      </c>
      <c r="X259">
        <f>(I259*V259)/W259</f>
        <v>515.82000000000005</v>
      </c>
      <c r="Y259">
        <f>(((J259-0.045)+(K259-0.045))*2)*X259</f>
        <v>422.97240000000005</v>
      </c>
      <c r="Z259">
        <f>((6*6)*Y259)/162</f>
        <v>93.993866666666676</v>
      </c>
    </row>
    <row r="260" spans="1:26" x14ac:dyDescent="0.25">
      <c r="A260" s="60"/>
      <c r="B260" s="90" t="s">
        <v>98</v>
      </c>
      <c r="C260" s="31">
        <v>1</v>
      </c>
      <c r="D260" s="27" t="s">
        <v>124</v>
      </c>
      <c r="E260" s="28"/>
      <c r="F260" s="34">
        <f t="shared" si="19"/>
        <v>0</v>
      </c>
    </row>
    <row r="261" spans="1:26" x14ac:dyDescent="0.25">
      <c r="A261" s="60"/>
      <c r="B261" s="88" t="s">
        <v>1</v>
      </c>
      <c r="C261" s="31"/>
      <c r="D261" s="27"/>
      <c r="E261" s="28"/>
      <c r="F261" s="34" t="str">
        <f t="shared" si="19"/>
        <v/>
      </c>
    </row>
    <row r="262" spans="1:26" ht="43.5" customHeight="1" x14ac:dyDescent="0.25">
      <c r="A262" s="60"/>
      <c r="B262" s="2" t="s">
        <v>99</v>
      </c>
      <c r="C262" s="31">
        <f>M258</f>
        <v>92.8476</v>
      </c>
      <c r="D262" s="27" t="s">
        <v>23</v>
      </c>
      <c r="E262" s="28"/>
      <c r="F262" s="34">
        <f t="shared" si="19"/>
        <v>0</v>
      </c>
    </row>
    <row r="263" spans="1:26" x14ac:dyDescent="0.25">
      <c r="A263" s="60"/>
      <c r="B263" s="2"/>
      <c r="C263" s="31"/>
      <c r="D263" s="27"/>
      <c r="E263" s="28"/>
      <c r="F263" s="34" t="str">
        <f>IF(E263="",IF(C263="","",C263*E263),C263*E263)</f>
        <v/>
      </c>
    </row>
    <row r="264" spans="1:26" x14ac:dyDescent="0.25">
      <c r="A264" s="60"/>
      <c r="B264" s="2"/>
      <c r="C264" s="225"/>
      <c r="D264" s="226"/>
      <c r="E264" s="28"/>
      <c r="F264" s="34" t="str">
        <f t="shared" si="4"/>
        <v/>
      </c>
      <c r="J264">
        <v>172.65</v>
      </c>
      <c r="K264">
        <f>J264*0.15</f>
        <v>25.897500000000001</v>
      </c>
    </row>
    <row r="265" spans="1:26" ht="15.75" thickBot="1" x14ac:dyDescent="0.3">
      <c r="A265" s="199">
        <v>3.5</v>
      </c>
      <c r="B265" s="258" t="s">
        <v>63</v>
      </c>
      <c r="C265" s="259"/>
      <c r="D265" s="259"/>
      <c r="E265" s="259"/>
      <c r="F265" s="155">
        <f>SUM(F267:F318)</f>
        <v>0</v>
      </c>
      <c r="J265">
        <f>J264/30</f>
        <v>5.7549999999999999</v>
      </c>
    </row>
    <row r="266" spans="1:26" ht="15.75" thickTop="1" x14ac:dyDescent="0.25">
      <c r="A266" s="60"/>
      <c r="B266" s="2"/>
      <c r="C266" s="31"/>
      <c r="D266" s="27"/>
      <c r="E266" s="28"/>
      <c r="F266" s="34" t="str">
        <f>IF(E266="",IF(C266="","",C266*E266),C266*E266)</f>
        <v/>
      </c>
    </row>
    <row r="267" spans="1:26" x14ac:dyDescent="0.25">
      <c r="A267" s="86"/>
      <c r="B267" s="14" t="s">
        <v>246</v>
      </c>
      <c r="C267" s="27"/>
      <c r="D267" s="27"/>
      <c r="E267" s="17"/>
      <c r="F267" s="34" t="str">
        <f t="shared" ref="F267:F270" si="21">IF(E267="",IF(C267="","",C267*E267),C267*E267)</f>
        <v/>
      </c>
      <c r="J267">
        <f>30000/150</f>
        <v>200</v>
      </c>
      <c r="K267">
        <f>J267*5.755</f>
        <v>1151</v>
      </c>
      <c r="L267">
        <f>J268*((5.755/5.2)*(40*0.01))</f>
        <v>16.969871794871796</v>
      </c>
      <c r="M267">
        <f>K267+K268+L267+L268</f>
        <v>2779.5083333333332</v>
      </c>
      <c r="N267">
        <f>M267*2</f>
        <v>5559.0166666666664</v>
      </c>
      <c r="O267">
        <f>(N267*(10*10))/162</f>
        <v>3431.491769547325</v>
      </c>
    </row>
    <row r="268" spans="1:26" ht="15.75" x14ac:dyDescent="0.25">
      <c r="A268" s="60"/>
      <c r="B268" s="2" t="s">
        <v>122</v>
      </c>
      <c r="C268" s="31">
        <v>25.897500000000001</v>
      </c>
      <c r="D268" s="27" t="s">
        <v>83</v>
      </c>
      <c r="E268" s="17"/>
      <c r="F268" s="34">
        <f t="shared" si="21"/>
        <v>0</v>
      </c>
      <c r="J268">
        <f>5750/150</f>
        <v>38.333333333333336</v>
      </c>
      <c r="K268">
        <f>J268*30</f>
        <v>1150</v>
      </c>
      <c r="L268">
        <f>J267*((30/5.2)*(40*0.01))</f>
        <v>461.5384615384616</v>
      </c>
    </row>
    <row r="269" spans="1:26" x14ac:dyDescent="0.25">
      <c r="A269" s="86"/>
      <c r="B269" s="36" t="s">
        <v>0</v>
      </c>
      <c r="C269" s="31"/>
      <c r="D269" s="27"/>
      <c r="E269" s="17"/>
      <c r="F269" s="34" t="str">
        <f t="shared" si="21"/>
        <v/>
      </c>
    </row>
    <row r="270" spans="1:26" x14ac:dyDescent="0.25">
      <c r="A270" s="60"/>
      <c r="B270" s="90" t="s">
        <v>255</v>
      </c>
      <c r="C270" s="31">
        <v>1715.7460000000001</v>
      </c>
      <c r="D270" s="27" t="s">
        <v>157</v>
      </c>
      <c r="E270" s="17"/>
      <c r="F270" s="34">
        <f t="shared" si="21"/>
        <v>0</v>
      </c>
    </row>
    <row r="271" spans="1:26" x14ac:dyDescent="0.25">
      <c r="A271" s="60"/>
      <c r="B271" s="2"/>
      <c r="C271" s="31"/>
      <c r="D271" s="27"/>
      <c r="E271" s="28"/>
      <c r="F271" s="34" t="str">
        <f>IF(E271="",IF(C271="","",C271*E271),C271*E271)</f>
        <v/>
      </c>
    </row>
    <row r="272" spans="1:26" x14ac:dyDescent="0.25">
      <c r="A272" s="86"/>
      <c r="B272" s="14" t="s">
        <v>257</v>
      </c>
      <c r="C272" s="27"/>
      <c r="D272" s="27"/>
      <c r="E272" s="28"/>
      <c r="F272" s="34" t="str">
        <f t="shared" ref="F272:F290" si="22">IF(E272="",IF(C272="","",C272*E272),C272*E272)</f>
        <v/>
      </c>
    </row>
    <row r="273" spans="1:26" ht="15.75" x14ac:dyDescent="0.25">
      <c r="A273" s="60"/>
      <c r="B273" s="2" t="s">
        <v>123</v>
      </c>
      <c r="C273" s="31">
        <f>L276</f>
        <v>8.0488800000000005</v>
      </c>
      <c r="D273" s="27" t="s">
        <v>83</v>
      </c>
      <c r="E273" s="28"/>
      <c r="F273" s="34">
        <f t="shared" si="22"/>
        <v>0</v>
      </c>
    </row>
    <row r="274" spans="1:26" x14ac:dyDescent="0.25">
      <c r="A274" s="86"/>
      <c r="B274" s="36" t="s">
        <v>0</v>
      </c>
      <c r="C274" s="31"/>
      <c r="D274" s="27"/>
      <c r="E274" s="28"/>
      <c r="F274" s="34" t="str">
        <f t="shared" si="22"/>
        <v/>
      </c>
      <c r="P274" t="s">
        <v>220</v>
      </c>
    </row>
    <row r="275" spans="1:26" x14ac:dyDescent="0.25">
      <c r="A275" s="60"/>
      <c r="B275" s="90" t="s">
        <v>253</v>
      </c>
      <c r="C275" s="31">
        <f>Z276</f>
        <v>391.79733333333331</v>
      </c>
      <c r="D275" s="27" t="s">
        <v>157</v>
      </c>
      <c r="E275" s="28"/>
      <c r="F275" s="34">
        <f t="shared" si="22"/>
        <v>0</v>
      </c>
      <c r="I275" t="s">
        <v>204</v>
      </c>
      <c r="J275" t="s">
        <v>27</v>
      </c>
      <c r="K275" t="s">
        <v>200</v>
      </c>
      <c r="L275" t="s">
        <v>219</v>
      </c>
      <c r="M275" t="s">
        <v>223</v>
      </c>
      <c r="P275" t="s">
        <v>221</v>
      </c>
      <c r="Q275" t="s">
        <v>10</v>
      </c>
      <c r="R275" t="s">
        <v>222</v>
      </c>
      <c r="S275" t="s">
        <v>205</v>
      </c>
      <c r="U275" s="224" t="s">
        <v>206</v>
      </c>
      <c r="V275" s="224" t="s">
        <v>207</v>
      </c>
      <c r="W275" s="224" t="s">
        <v>208</v>
      </c>
      <c r="X275" s="224" t="s">
        <v>209</v>
      </c>
      <c r="Y275" s="224" t="s">
        <v>210</v>
      </c>
      <c r="Z275" s="224" t="s">
        <v>205</v>
      </c>
    </row>
    <row r="276" spans="1:26" x14ac:dyDescent="0.25">
      <c r="A276" s="60"/>
      <c r="B276" s="90" t="s">
        <v>254</v>
      </c>
      <c r="C276" s="31">
        <f>S276</f>
        <v>2115.6837606837607</v>
      </c>
      <c r="D276" s="27" t="s">
        <v>157</v>
      </c>
      <c r="E276" s="28"/>
      <c r="F276" s="34">
        <f t="shared" si="22"/>
        <v>0</v>
      </c>
      <c r="I276" s="236">
        <f>19.164*2</f>
        <v>38.328000000000003</v>
      </c>
      <c r="J276" s="236">
        <v>0.7</v>
      </c>
      <c r="K276" s="236">
        <v>0.3</v>
      </c>
      <c r="L276" s="237">
        <f>K276*J276*I276</f>
        <v>8.0488800000000005</v>
      </c>
      <c r="M276">
        <f>(J276+J276+K276)*I276</f>
        <v>65.157600000000002</v>
      </c>
      <c r="P276" s="236">
        <v>25</v>
      </c>
      <c r="Q276" s="236">
        <v>12</v>
      </c>
      <c r="R276">
        <f>((((I276/5.2)*(40*P276))/1000)+I276)*Q276</f>
        <v>548.38523076923082</v>
      </c>
      <c r="S276">
        <f>((R276*(P276*P276))/162)</f>
        <v>2115.6837606837607</v>
      </c>
      <c r="V276" s="223">
        <v>1</v>
      </c>
      <c r="W276" s="223">
        <v>0.1</v>
      </c>
      <c r="X276">
        <f>(I276*V276)/W276</f>
        <v>383.28000000000003</v>
      </c>
      <c r="Y276">
        <f>(1.656)*X276</f>
        <v>634.71168</v>
      </c>
      <c r="Z276">
        <f>((10*10)*Y276)/162</f>
        <v>391.79733333333331</v>
      </c>
    </row>
    <row r="277" spans="1:26" x14ac:dyDescent="0.25">
      <c r="A277" s="60"/>
      <c r="B277" s="90" t="s">
        <v>252</v>
      </c>
      <c r="C277" s="31">
        <f>S277</f>
        <v>272.08876125356124</v>
      </c>
      <c r="D277" s="27" t="s">
        <v>157</v>
      </c>
      <c r="E277" s="28"/>
      <c r="F277" s="34">
        <f t="shared" si="22"/>
        <v>0</v>
      </c>
      <c r="I277" s="236">
        <f>19.164*2</f>
        <v>38.328000000000003</v>
      </c>
      <c r="J277" s="236">
        <v>0.3</v>
      </c>
      <c r="K277" s="236">
        <v>0.2</v>
      </c>
      <c r="L277" s="237">
        <f>K277*J277*I277</f>
        <v>2.2996799999999999</v>
      </c>
      <c r="M277">
        <f>(J277+J277+K277)*I277</f>
        <v>30.662400000000005</v>
      </c>
      <c r="P277" s="236">
        <v>16</v>
      </c>
      <c r="Q277" s="236">
        <v>4</v>
      </c>
      <c r="R277">
        <f>((((I277/5.2)*(40*P277))/1000)+I277)*Q277</f>
        <v>172.18116923076923</v>
      </c>
      <c r="S277">
        <f>((R277*(P277*P277))/162)</f>
        <v>272.08876125356124</v>
      </c>
      <c r="V277" s="223">
        <v>1</v>
      </c>
      <c r="W277" s="223">
        <v>0.15</v>
      </c>
      <c r="X277">
        <f>(I277*V277)/W277</f>
        <v>255.52000000000004</v>
      </c>
      <c r="Y277">
        <f>(1.734*4)*X277</f>
        <v>1772.2867200000003</v>
      </c>
      <c r="Z277">
        <f>((6*6)*Y277)/162</f>
        <v>393.8414933333334</v>
      </c>
    </row>
    <row r="278" spans="1:26" x14ac:dyDescent="0.25">
      <c r="A278" s="60"/>
      <c r="B278" s="90" t="s">
        <v>98</v>
      </c>
      <c r="C278" s="31">
        <v>1</v>
      </c>
      <c r="D278" s="27" t="s">
        <v>124</v>
      </c>
      <c r="E278" s="28"/>
      <c r="F278" s="34">
        <f t="shared" si="22"/>
        <v>0</v>
      </c>
    </row>
    <row r="279" spans="1:26" x14ac:dyDescent="0.25">
      <c r="A279" s="60"/>
      <c r="B279" s="88" t="s">
        <v>1</v>
      </c>
      <c r="C279" s="31"/>
      <c r="D279" s="27"/>
      <c r="E279" s="28"/>
      <c r="F279" s="34" t="str">
        <f t="shared" si="22"/>
        <v/>
      </c>
    </row>
    <row r="280" spans="1:26" ht="43.5" customHeight="1" x14ac:dyDescent="0.25">
      <c r="A280" s="60"/>
      <c r="B280" s="2" t="s">
        <v>99</v>
      </c>
      <c r="C280" s="31">
        <f>M276</f>
        <v>65.157600000000002</v>
      </c>
      <c r="D280" s="27" t="s">
        <v>23</v>
      </c>
      <c r="E280" s="28"/>
      <c r="F280" s="34">
        <f t="shared" si="22"/>
        <v>0</v>
      </c>
    </row>
    <row r="281" spans="1:26" x14ac:dyDescent="0.25">
      <c r="A281" s="86"/>
      <c r="B281" s="14" t="s">
        <v>258</v>
      </c>
      <c r="C281" s="27"/>
      <c r="D281" s="27"/>
      <c r="E281" s="28"/>
      <c r="F281" s="34" t="str">
        <f t="shared" si="22"/>
        <v/>
      </c>
    </row>
    <row r="282" spans="1:26" ht="15.75" x14ac:dyDescent="0.25">
      <c r="A282" s="60"/>
      <c r="B282" s="2" t="s">
        <v>123</v>
      </c>
      <c r="C282" s="31">
        <f>L285</f>
        <v>8.0488800000000005</v>
      </c>
      <c r="D282" s="27" t="s">
        <v>83</v>
      </c>
      <c r="E282" s="28"/>
      <c r="F282" s="34">
        <f t="shared" si="22"/>
        <v>0</v>
      </c>
    </row>
    <row r="283" spans="1:26" x14ac:dyDescent="0.25">
      <c r="A283" s="86"/>
      <c r="B283" s="36" t="s">
        <v>0</v>
      </c>
      <c r="C283" s="31"/>
      <c r="D283" s="27"/>
      <c r="E283" s="28"/>
      <c r="F283" s="34" t="str">
        <f t="shared" si="22"/>
        <v/>
      </c>
      <c r="P283" t="s">
        <v>220</v>
      </c>
    </row>
    <row r="284" spans="1:26" x14ac:dyDescent="0.25">
      <c r="A284" s="60"/>
      <c r="B284" s="90" t="s">
        <v>253</v>
      </c>
      <c r="C284" s="31">
        <f>Z285</f>
        <v>262.30232098765435</v>
      </c>
      <c r="D284" s="27" t="s">
        <v>157</v>
      </c>
      <c r="E284" s="28"/>
      <c r="F284" s="34">
        <f t="shared" si="22"/>
        <v>0</v>
      </c>
      <c r="I284" t="s">
        <v>204</v>
      </c>
      <c r="J284" t="s">
        <v>27</v>
      </c>
      <c r="K284" t="s">
        <v>200</v>
      </c>
      <c r="L284" t="s">
        <v>219</v>
      </c>
      <c r="M284" t="s">
        <v>223</v>
      </c>
      <c r="P284" t="s">
        <v>221</v>
      </c>
      <c r="Q284" t="s">
        <v>10</v>
      </c>
      <c r="R284" t="s">
        <v>222</v>
      </c>
      <c r="S284" t="s">
        <v>205</v>
      </c>
      <c r="U284" s="224" t="s">
        <v>206</v>
      </c>
      <c r="V284" s="224" t="s">
        <v>207</v>
      </c>
      <c r="W284" s="224" t="s">
        <v>208</v>
      </c>
      <c r="X284" s="224" t="s">
        <v>209</v>
      </c>
      <c r="Y284" s="224" t="s">
        <v>210</v>
      </c>
      <c r="Z284" s="224" t="s">
        <v>205</v>
      </c>
    </row>
    <row r="285" spans="1:26" x14ac:dyDescent="0.25">
      <c r="A285" s="60"/>
      <c r="B285" s="90" t="s">
        <v>251</v>
      </c>
      <c r="C285" s="31">
        <f>S285</f>
        <v>1057.8418803418804</v>
      </c>
      <c r="D285" s="27" t="s">
        <v>157</v>
      </c>
      <c r="E285" s="28"/>
      <c r="F285" s="34">
        <f t="shared" si="22"/>
        <v>0</v>
      </c>
      <c r="I285" s="236">
        <f>19.164*2</f>
        <v>38.328000000000003</v>
      </c>
      <c r="J285" s="236">
        <v>0.3</v>
      </c>
      <c r="K285" s="236">
        <v>0.7</v>
      </c>
      <c r="L285" s="237">
        <f>K285*J285*I285</f>
        <v>8.0488800000000005</v>
      </c>
      <c r="M285">
        <f>(J285+J285+K285)*I285</f>
        <v>49.8264</v>
      </c>
      <c r="P285" s="236">
        <v>25</v>
      </c>
      <c r="Q285" s="236">
        <v>6</v>
      </c>
      <c r="R285">
        <f>((((I285/5.2)*(40*P285))/1000)+I285)*Q285</f>
        <v>274.19261538461541</v>
      </c>
      <c r="S285">
        <f>((R285*(P285*P285))/162)</f>
        <v>1057.8418803418804</v>
      </c>
      <c r="V285" s="223">
        <v>1</v>
      </c>
      <c r="W285" s="223">
        <v>0.15</v>
      </c>
      <c r="X285">
        <f>(I285*V285)/W285</f>
        <v>255.52000000000004</v>
      </c>
      <c r="Y285">
        <f>(1.663)*X285</f>
        <v>424.9297600000001</v>
      </c>
      <c r="Z285">
        <f>((10*10)*Y285)/162</f>
        <v>262.30232098765435</v>
      </c>
    </row>
    <row r="286" spans="1:26" x14ac:dyDescent="0.25">
      <c r="A286" s="60"/>
      <c r="B286" s="90" t="s">
        <v>237</v>
      </c>
      <c r="C286" s="31">
        <f>S286</f>
        <v>655.1794871794873</v>
      </c>
      <c r="D286" s="27" t="s">
        <v>157</v>
      </c>
      <c r="E286" s="28"/>
      <c r="F286" s="34">
        <f t="shared" si="22"/>
        <v>0</v>
      </c>
      <c r="I286" s="236">
        <f t="shared" ref="I286:I287" si="23">19.164*2</f>
        <v>38.328000000000003</v>
      </c>
      <c r="J286" s="236">
        <v>0.3</v>
      </c>
      <c r="K286" s="236">
        <v>0.7</v>
      </c>
      <c r="L286" s="237">
        <f>K286*J286*I286</f>
        <v>8.0488800000000005</v>
      </c>
      <c r="M286">
        <f>(J286+J286+K286)*I286</f>
        <v>49.8264</v>
      </c>
      <c r="P286" s="236">
        <v>20</v>
      </c>
      <c r="Q286" s="236">
        <v>6</v>
      </c>
      <c r="R286">
        <f>((((I286/5.2)*(40*P286))/1000)+I286)*Q286</f>
        <v>265.34769230769234</v>
      </c>
      <c r="S286">
        <f>((R286*(P286*P286))/162)</f>
        <v>655.1794871794873</v>
      </c>
      <c r="V286" s="223">
        <v>1</v>
      </c>
      <c r="W286" s="223">
        <v>0.15</v>
      </c>
      <c r="X286">
        <f>(I286*V286)/W286</f>
        <v>255.52000000000004</v>
      </c>
      <c r="Y286">
        <f t="shared" ref="Y286:Y287" si="24">(1.734*4)*X286</f>
        <v>1772.2867200000003</v>
      </c>
      <c r="Z286">
        <f>((6*6)*Y286)/162</f>
        <v>393.8414933333334</v>
      </c>
    </row>
    <row r="287" spans="1:26" x14ac:dyDescent="0.25">
      <c r="A287" s="60"/>
      <c r="B287" s="90" t="s">
        <v>252</v>
      </c>
      <c r="C287" s="31">
        <f>S287</f>
        <v>272.08876125356124</v>
      </c>
      <c r="D287" s="27" t="s">
        <v>157</v>
      </c>
      <c r="E287" s="28"/>
      <c r="F287" s="34">
        <f t="shared" si="22"/>
        <v>0</v>
      </c>
      <c r="I287" s="236">
        <f t="shared" si="23"/>
        <v>38.328000000000003</v>
      </c>
      <c r="J287" s="236">
        <v>0.3</v>
      </c>
      <c r="K287" s="236">
        <v>0.7</v>
      </c>
      <c r="L287" s="237">
        <f>K287*J287*I287</f>
        <v>8.0488800000000005</v>
      </c>
      <c r="M287">
        <f>(J287+J287+K287)*I287</f>
        <v>49.8264</v>
      </c>
      <c r="P287" s="236">
        <v>16</v>
      </c>
      <c r="Q287" s="236">
        <v>4</v>
      </c>
      <c r="R287">
        <f>((((I287/5.2)*(40*P287))/1000)+I287)*Q287</f>
        <v>172.18116923076923</v>
      </c>
      <c r="S287">
        <f>((R287*(P287*P287))/162)</f>
        <v>272.08876125356124</v>
      </c>
      <c r="V287" s="223">
        <v>1</v>
      </c>
      <c r="W287" s="223">
        <v>0.15</v>
      </c>
      <c r="X287">
        <f>(I287*V287)/W287</f>
        <v>255.52000000000004</v>
      </c>
      <c r="Y287">
        <f t="shared" si="24"/>
        <v>1772.2867200000003</v>
      </c>
      <c r="Z287">
        <f>((6*6)*Y287)/162</f>
        <v>393.8414933333334</v>
      </c>
    </row>
    <row r="288" spans="1:26" x14ac:dyDescent="0.25">
      <c r="A288" s="60"/>
      <c r="B288" s="90" t="s">
        <v>98</v>
      </c>
      <c r="C288" s="31">
        <v>1</v>
      </c>
      <c r="D288" s="27" t="s">
        <v>124</v>
      </c>
      <c r="E288" s="28"/>
      <c r="F288" s="34">
        <f t="shared" si="22"/>
        <v>0</v>
      </c>
    </row>
    <row r="289" spans="1:26" x14ac:dyDescent="0.25">
      <c r="A289" s="60"/>
      <c r="B289" s="88" t="s">
        <v>1</v>
      </c>
      <c r="C289" s="31"/>
      <c r="D289" s="27"/>
      <c r="E289" s="28"/>
      <c r="F289" s="34" t="str">
        <f t="shared" si="22"/>
        <v/>
      </c>
    </row>
    <row r="290" spans="1:26" ht="43.5" customHeight="1" x14ac:dyDescent="0.25">
      <c r="A290" s="60"/>
      <c r="B290" s="2" t="s">
        <v>99</v>
      </c>
      <c r="C290" s="31">
        <f>M285</f>
        <v>49.8264</v>
      </c>
      <c r="D290" s="27" t="s">
        <v>23</v>
      </c>
      <c r="E290" s="28"/>
      <c r="F290" s="34">
        <f t="shared" si="22"/>
        <v>0</v>
      </c>
    </row>
    <row r="291" spans="1:26" x14ac:dyDescent="0.25">
      <c r="A291" s="60"/>
      <c r="B291" s="2"/>
      <c r="C291" s="31"/>
      <c r="D291" s="27"/>
      <c r="E291" s="28"/>
      <c r="F291" s="34" t="str">
        <f>IF(E291="",IF(C291="","",C291*E291),C291*E291)</f>
        <v/>
      </c>
    </row>
    <row r="292" spans="1:26" x14ac:dyDescent="0.25">
      <c r="A292" s="60"/>
      <c r="B292" s="2"/>
      <c r="C292" s="31"/>
      <c r="D292" s="27"/>
      <c r="E292" s="28"/>
      <c r="F292" s="34" t="str">
        <f>IF(E292="",IF(C292="","",C292*E292),C292*E292)</f>
        <v/>
      </c>
    </row>
    <row r="293" spans="1:26" x14ac:dyDescent="0.25">
      <c r="A293" s="86"/>
      <c r="B293" s="14" t="s">
        <v>259</v>
      </c>
      <c r="C293" s="27"/>
      <c r="D293" s="27"/>
      <c r="E293" s="28"/>
      <c r="F293" s="34" t="str">
        <f t="shared" ref="F293:F301" si="25">IF(E293="",IF(C293="","",C293*E293),C293*E293)</f>
        <v/>
      </c>
    </row>
    <row r="294" spans="1:26" ht="15.75" x14ac:dyDescent="0.25">
      <c r="A294" s="60"/>
      <c r="B294" s="2" t="s">
        <v>123</v>
      </c>
      <c r="C294" s="31">
        <f>L297</f>
        <v>16.097760000000001</v>
      </c>
      <c r="D294" s="27" t="s">
        <v>83</v>
      </c>
      <c r="E294" s="28"/>
      <c r="F294" s="34">
        <f t="shared" si="25"/>
        <v>0</v>
      </c>
    </row>
    <row r="295" spans="1:26" x14ac:dyDescent="0.25">
      <c r="A295" s="86"/>
      <c r="B295" s="36" t="s">
        <v>0</v>
      </c>
      <c r="C295" s="31"/>
      <c r="D295" s="27"/>
      <c r="E295" s="28"/>
      <c r="F295" s="34" t="str">
        <f t="shared" si="25"/>
        <v/>
      </c>
      <c r="P295" t="s">
        <v>220</v>
      </c>
    </row>
    <row r="296" spans="1:26" x14ac:dyDescent="0.25">
      <c r="A296" s="60"/>
      <c r="B296" s="90" t="s">
        <v>2</v>
      </c>
      <c r="C296" s="31">
        <f>Z297</f>
        <v>282.09408000000002</v>
      </c>
      <c r="D296" s="27" t="s">
        <v>157</v>
      </c>
      <c r="E296" s="28"/>
      <c r="F296" s="34">
        <f t="shared" si="25"/>
        <v>0</v>
      </c>
      <c r="I296" t="s">
        <v>204</v>
      </c>
      <c r="J296" t="s">
        <v>27</v>
      </c>
      <c r="K296" t="s">
        <v>200</v>
      </c>
      <c r="L296" t="s">
        <v>219</v>
      </c>
      <c r="M296" t="s">
        <v>223</v>
      </c>
      <c r="P296" t="s">
        <v>221</v>
      </c>
      <c r="Q296" t="s">
        <v>10</v>
      </c>
      <c r="R296" t="s">
        <v>222</v>
      </c>
      <c r="S296" t="s">
        <v>205</v>
      </c>
      <c r="U296" s="224" t="s">
        <v>206</v>
      </c>
      <c r="V296" s="224" t="s">
        <v>207</v>
      </c>
      <c r="W296" s="224" t="s">
        <v>208</v>
      </c>
      <c r="X296" s="224" t="s">
        <v>209</v>
      </c>
      <c r="Y296" s="224" t="s">
        <v>210</v>
      </c>
      <c r="Z296" s="224" t="s">
        <v>205</v>
      </c>
    </row>
    <row r="297" spans="1:26" x14ac:dyDescent="0.25">
      <c r="A297" s="60"/>
      <c r="B297" s="90" t="s">
        <v>252</v>
      </c>
      <c r="C297" s="31">
        <f>S297</f>
        <v>1088.355045014245</v>
      </c>
      <c r="D297" s="27" t="s">
        <v>157</v>
      </c>
      <c r="E297" s="28"/>
      <c r="F297" s="34">
        <f t="shared" si="25"/>
        <v>0</v>
      </c>
      <c r="I297" s="236">
        <f>19.164*4</f>
        <v>76.656000000000006</v>
      </c>
      <c r="J297" s="236">
        <v>0.7</v>
      </c>
      <c r="K297" s="236">
        <v>0.3</v>
      </c>
      <c r="L297" s="237">
        <f>K297*J297*I297</f>
        <v>16.097760000000001</v>
      </c>
      <c r="M297">
        <f>(J297+J297+K297)*I297</f>
        <v>130.3152</v>
      </c>
      <c r="P297" s="236">
        <v>16</v>
      </c>
      <c r="Q297" s="236">
        <v>8</v>
      </c>
      <c r="R297">
        <f>((((I297/5.2)*(40*P297))/1000)+I297)*Q297</f>
        <v>688.72467692307691</v>
      </c>
      <c r="S297">
        <f>((R297*(P297*P297))/162)</f>
        <v>1088.355045014245</v>
      </c>
      <c r="V297" s="223">
        <v>1</v>
      </c>
      <c r="W297" s="223">
        <v>0.1</v>
      </c>
      <c r="X297">
        <f>(I297*V297)/W297</f>
        <v>766.56000000000006</v>
      </c>
      <c r="Y297">
        <f>(1.656)*X297</f>
        <v>1269.42336</v>
      </c>
      <c r="Z297">
        <f>((6*6)*Y297)/162</f>
        <v>282.09408000000002</v>
      </c>
    </row>
    <row r="298" spans="1:26" x14ac:dyDescent="0.25">
      <c r="A298" s="60"/>
      <c r="B298" s="90" t="s">
        <v>3</v>
      </c>
      <c r="C298" s="31">
        <f>S298</f>
        <v>297.71355897435899</v>
      </c>
      <c r="D298" s="27" t="s">
        <v>157</v>
      </c>
      <c r="E298" s="28"/>
      <c r="F298" s="34">
        <f t="shared" si="25"/>
        <v>0</v>
      </c>
      <c r="I298" s="236">
        <f t="shared" ref="I298" si="26">19.164*4</f>
        <v>76.656000000000006</v>
      </c>
      <c r="J298" s="236">
        <v>0.3</v>
      </c>
      <c r="K298" s="236">
        <v>0.2</v>
      </c>
      <c r="L298" s="237">
        <f>K298*J298*I298</f>
        <v>4.5993599999999999</v>
      </c>
      <c r="M298">
        <f>(J298+J298+K298)*I298</f>
        <v>61.32480000000001</v>
      </c>
      <c r="P298" s="236">
        <v>12</v>
      </c>
      <c r="Q298" s="236">
        <v>4</v>
      </c>
      <c r="R298">
        <f>((((I298/5.2)*(40*P298))/1000)+I298)*Q298</f>
        <v>334.92775384615385</v>
      </c>
      <c r="S298">
        <f>((R298*(P298*P298))/162)</f>
        <v>297.71355897435899</v>
      </c>
      <c r="V298" s="223">
        <v>1</v>
      </c>
      <c r="W298" s="223">
        <v>0.15</v>
      </c>
      <c r="X298">
        <f>(I298*V298)/W298</f>
        <v>511.04000000000008</v>
      </c>
      <c r="Y298">
        <f t="shared" ref="Y298" si="27">(1.734*4)*X298</f>
        <v>3544.5734400000006</v>
      </c>
      <c r="Z298">
        <f>((6*6)*Y298)/162</f>
        <v>787.68298666666681</v>
      </c>
    </row>
    <row r="299" spans="1:26" x14ac:dyDescent="0.25">
      <c r="A299" s="60"/>
      <c r="B299" s="90" t="s">
        <v>98</v>
      </c>
      <c r="C299" s="31">
        <v>1</v>
      </c>
      <c r="D299" s="27" t="s">
        <v>124</v>
      </c>
      <c r="E299" s="28"/>
      <c r="F299" s="34">
        <f t="shared" si="25"/>
        <v>0</v>
      </c>
    </row>
    <row r="300" spans="1:26" x14ac:dyDescent="0.25">
      <c r="A300" s="60"/>
      <c r="B300" s="88" t="s">
        <v>1</v>
      </c>
      <c r="C300" s="31"/>
      <c r="D300" s="27"/>
      <c r="E300" s="28"/>
      <c r="F300" s="34" t="str">
        <f t="shared" si="25"/>
        <v/>
      </c>
    </row>
    <row r="301" spans="1:26" ht="43.5" customHeight="1" x14ac:dyDescent="0.25">
      <c r="A301" s="60"/>
      <c r="B301" s="2" t="s">
        <v>99</v>
      </c>
      <c r="C301" s="31">
        <f>M297</f>
        <v>130.3152</v>
      </c>
      <c r="D301" s="27" t="s">
        <v>23</v>
      </c>
      <c r="E301" s="28"/>
      <c r="F301" s="34">
        <f t="shared" si="25"/>
        <v>0</v>
      </c>
    </row>
    <row r="302" spans="1:26" x14ac:dyDescent="0.25">
      <c r="A302" s="60"/>
      <c r="B302" s="2"/>
      <c r="C302" s="31"/>
      <c r="D302" s="27"/>
      <c r="E302" s="28"/>
      <c r="F302" s="34" t="str">
        <f>IF(E302="",IF(C302="","",C302*E302),C302*E302)</f>
        <v/>
      </c>
    </row>
    <row r="303" spans="1:26" x14ac:dyDescent="0.25">
      <c r="A303" s="86"/>
      <c r="B303" s="14" t="s">
        <v>260</v>
      </c>
      <c r="C303" s="27"/>
      <c r="D303" s="27"/>
      <c r="E303" s="28"/>
      <c r="F303" s="34" t="str">
        <f t="shared" ref="F303:F311" si="28">IF(E303="",IF(C303="","",C303*E303),C303*E303)</f>
        <v/>
      </c>
    </row>
    <row r="304" spans="1:26" ht="15.75" x14ac:dyDescent="0.25">
      <c r="A304" s="60"/>
      <c r="B304" s="2" t="s">
        <v>123</v>
      </c>
      <c r="C304" s="31">
        <f>L307</f>
        <v>7.2128000000000005</v>
      </c>
      <c r="D304" s="27" t="s">
        <v>83</v>
      </c>
      <c r="E304" s="28"/>
      <c r="F304" s="34">
        <f t="shared" si="28"/>
        <v>0</v>
      </c>
    </row>
    <row r="305" spans="1:26" x14ac:dyDescent="0.25">
      <c r="A305" s="86"/>
      <c r="B305" s="36" t="s">
        <v>0</v>
      </c>
      <c r="C305" s="31"/>
      <c r="D305" s="27"/>
      <c r="E305" s="28"/>
      <c r="F305" s="34" t="str">
        <f t="shared" si="28"/>
        <v/>
      </c>
      <c r="P305" t="s">
        <v>220</v>
      </c>
    </row>
    <row r="306" spans="1:26" x14ac:dyDescent="0.25">
      <c r="A306" s="60"/>
      <c r="B306" s="90" t="s">
        <v>2</v>
      </c>
      <c r="C306" s="31">
        <f>Z307</f>
        <v>135.28007111111111</v>
      </c>
      <c r="D306" s="27" t="s">
        <v>157</v>
      </c>
      <c r="E306" s="28"/>
      <c r="F306" s="34">
        <f t="shared" si="28"/>
        <v>0</v>
      </c>
      <c r="I306" t="s">
        <v>204</v>
      </c>
      <c r="J306" t="s">
        <v>27</v>
      </c>
      <c r="K306" t="s">
        <v>200</v>
      </c>
      <c r="L306" t="s">
        <v>219</v>
      </c>
      <c r="M306" t="s">
        <v>223</v>
      </c>
      <c r="P306" t="s">
        <v>221</v>
      </c>
      <c r="Q306" t="s">
        <v>10</v>
      </c>
      <c r="R306" t="s">
        <v>222</v>
      </c>
      <c r="S306" t="s">
        <v>205</v>
      </c>
      <c r="U306" s="224" t="s">
        <v>206</v>
      </c>
      <c r="V306" s="224" t="s">
        <v>207</v>
      </c>
      <c r="W306" s="224" t="s">
        <v>208</v>
      </c>
      <c r="X306" s="224" t="s">
        <v>209</v>
      </c>
      <c r="Y306" s="224" t="s">
        <v>210</v>
      </c>
      <c r="Z306" s="224" t="s">
        <v>205</v>
      </c>
    </row>
    <row r="307" spans="1:26" x14ac:dyDescent="0.25">
      <c r="A307" s="60"/>
      <c r="B307" s="90" t="s">
        <v>252</v>
      </c>
      <c r="C307" s="31">
        <f>S307</f>
        <v>640.04181576448252</v>
      </c>
      <c r="D307" s="27" t="s">
        <v>157</v>
      </c>
      <c r="E307" s="28"/>
      <c r="F307" s="34">
        <f t="shared" si="28"/>
        <v>0</v>
      </c>
      <c r="I307" s="236">
        <v>72.128</v>
      </c>
      <c r="J307" s="236">
        <v>0.5</v>
      </c>
      <c r="K307" s="236">
        <v>0.2</v>
      </c>
      <c r="L307" s="237">
        <f>K307*J307*I307</f>
        <v>7.2128000000000005</v>
      </c>
      <c r="M307">
        <f>(J307+J307+K307)*I307</f>
        <v>86.553600000000003</v>
      </c>
      <c r="P307" s="236">
        <v>16</v>
      </c>
      <c r="Q307" s="236">
        <v>5</v>
      </c>
      <c r="R307">
        <f>((((I307/5.2)*(40*P307))/1000)+I307)*Q307</f>
        <v>405.0264615384616</v>
      </c>
      <c r="S307">
        <f>((R307*(P307*P307))/162)</f>
        <v>640.04181576448252</v>
      </c>
      <c r="V307" s="223">
        <v>1</v>
      </c>
      <c r="W307" s="223">
        <v>0.125</v>
      </c>
      <c r="X307">
        <f>(I307*V307)/W307</f>
        <v>577.024</v>
      </c>
      <c r="Y307">
        <f>(1.055)*X307</f>
        <v>608.76031999999998</v>
      </c>
      <c r="Z307">
        <f>((6*6)*Y307)/162</f>
        <v>135.28007111111111</v>
      </c>
    </row>
    <row r="308" spans="1:26" x14ac:dyDescent="0.25">
      <c r="A308" s="60"/>
      <c r="B308" s="90" t="s">
        <v>3</v>
      </c>
      <c r="C308" s="31">
        <f>S308</f>
        <v>140.06394529914527</v>
      </c>
      <c r="D308" s="27" t="s">
        <v>157</v>
      </c>
      <c r="E308" s="28"/>
      <c r="F308" s="34">
        <f t="shared" si="28"/>
        <v>0</v>
      </c>
      <c r="I308" s="236">
        <v>72.128</v>
      </c>
      <c r="J308" s="236">
        <v>0.3</v>
      </c>
      <c r="K308" s="236">
        <v>0.2</v>
      </c>
      <c r="L308" s="237">
        <f>K308*J308*I308</f>
        <v>4.32768</v>
      </c>
      <c r="M308">
        <f>(J308+J308+K308)*I308</f>
        <v>57.702400000000004</v>
      </c>
      <c r="P308" s="236">
        <v>12</v>
      </c>
      <c r="Q308" s="236">
        <v>2</v>
      </c>
      <c r="R308">
        <f>((((I308/5.2)*(40*P308))/1000)+I308)*Q308</f>
        <v>157.57193846153845</v>
      </c>
      <c r="S308">
        <f>((R308*(P308*P308))/162)</f>
        <v>140.06394529914527</v>
      </c>
      <c r="V308" s="223">
        <v>1</v>
      </c>
      <c r="W308" s="223">
        <v>0.15</v>
      </c>
      <c r="X308">
        <f>(I308*V308)/W308</f>
        <v>480.85333333333335</v>
      </c>
      <c r="Y308">
        <f>(((J308-0.045)+(K308-0.045))*2)*X308</f>
        <v>394.29973333333339</v>
      </c>
      <c r="Z308">
        <f>((6*6)*Y308)/162</f>
        <v>87.622162962962975</v>
      </c>
    </row>
    <row r="309" spans="1:26" x14ac:dyDescent="0.25">
      <c r="A309" s="60"/>
      <c r="B309" s="90" t="s">
        <v>98</v>
      </c>
      <c r="C309" s="31">
        <v>1</v>
      </c>
      <c r="D309" s="27" t="s">
        <v>124</v>
      </c>
      <c r="E309" s="28"/>
      <c r="F309" s="34">
        <f t="shared" si="28"/>
        <v>0</v>
      </c>
    </row>
    <row r="310" spans="1:26" x14ac:dyDescent="0.25">
      <c r="A310" s="60"/>
      <c r="B310" s="88" t="s">
        <v>1</v>
      </c>
      <c r="C310" s="31"/>
      <c r="D310" s="27"/>
      <c r="E310" s="28"/>
      <c r="F310" s="34" t="str">
        <f t="shared" si="28"/>
        <v/>
      </c>
    </row>
    <row r="311" spans="1:26" ht="43.5" customHeight="1" x14ac:dyDescent="0.25">
      <c r="A311" s="60"/>
      <c r="B311" s="2" t="s">
        <v>99</v>
      </c>
      <c r="C311" s="31">
        <f>M307</f>
        <v>86.553600000000003</v>
      </c>
      <c r="D311" s="27" t="s">
        <v>23</v>
      </c>
      <c r="E311" s="28"/>
      <c r="F311" s="34">
        <f t="shared" si="28"/>
        <v>0</v>
      </c>
    </row>
    <row r="312" spans="1:26" x14ac:dyDescent="0.25">
      <c r="A312" s="86"/>
      <c r="B312" s="14"/>
      <c r="C312" s="27"/>
      <c r="D312" s="27"/>
      <c r="E312" s="28"/>
      <c r="F312" s="34"/>
    </row>
    <row r="313" spans="1:26" x14ac:dyDescent="0.25">
      <c r="A313" s="86"/>
      <c r="B313" s="14" t="s">
        <v>261</v>
      </c>
      <c r="C313" s="27"/>
      <c r="D313" s="27"/>
      <c r="E313" s="28"/>
      <c r="F313" s="34" t="str">
        <f t="shared" ref="F313:F318" si="29">IF(E313="",IF(C313="","",C313*E313),C313*E313)</f>
        <v/>
      </c>
      <c r="K313">
        <v>62</v>
      </c>
      <c r="L313">
        <f>K313*0.5*0.125</f>
        <v>3.875</v>
      </c>
      <c r="O313">
        <f>62000/200</f>
        <v>310</v>
      </c>
      <c r="P313">
        <f>K314*O313</f>
        <v>155</v>
      </c>
      <c r="Q313">
        <f>P313+P314</f>
        <v>279</v>
      </c>
      <c r="R313">
        <f>(Q313*(10*10))/162</f>
        <v>172.22222222222223</v>
      </c>
    </row>
    <row r="314" spans="1:26" ht="15.75" x14ac:dyDescent="0.25">
      <c r="A314" s="60"/>
      <c r="B314" s="2" t="s">
        <v>122</v>
      </c>
      <c r="C314" s="31">
        <v>3.875</v>
      </c>
      <c r="D314" s="27" t="s">
        <v>83</v>
      </c>
      <c r="E314" s="28"/>
      <c r="F314" s="34">
        <f t="shared" si="29"/>
        <v>0</v>
      </c>
      <c r="K314">
        <v>0.5</v>
      </c>
      <c r="O314">
        <f>500/250</f>
        <v>2</v>
      </c>
      <c r="P314">
        <f>O314*K313</f>
        <v>124</v>
      </c>
    </row>
    <row r="315" spans="1:26" x14ac:dyDescent="0.25">
      <c r="A315" s="86"/>
      <c r="B315" s="36" t="s">
        <v>0</v>
      </c>
      <c r="C315" s="31"/>
      <c r="D315" s="27"/>
      <c r="E315" s="28"/>
      <c r="F315" s="34" t="str">
        <f t="shared" si="29"/>
        <v/>
      </c>
    </row>
    <row r="316" spans="1:26" x14ac:dyDescent="0.25">
      <c r="A316" s="60"/>
      <c r="B316" s="90" t="s">
        <v>127</v>
      </c>
      <c r="C316" s="31">
        <v>172.22221999999999</v>
      </c>
      <c r="D316" s="27" t="s">
        <v>157</v>
      </c>
      <c r="E316" s="28"/>
      <c r="F316" s="34">
        <f t="shared" si="29"/>
        <v>0</v>
      </c>
      <c r="K316">
        <f>K314*K313*2</f>
        <v>62</v>
      </c>
    </row>
    <row r="317" spans="1:26" x14ac:dyDescent="0.25">
      <c r="A317" s="60"/>
      <c r="B317" s="88" t="s">
        <v>1</v>
      </c>
      <c r="C317" s="27"/>
      <c r="D317" s="27"/>
      <c r="E317" s="28"/>
      <c r="F317" s="34" t="str">
        <f t="shared" si="29"/>
        <v/>
      </c>
    </row>
    <row r="318" spans="1:26" ht="43.5" customHeight="1" x14ac:dyDescent="0.25">
      <c r="A318" s="60"/>
      <c r="B318" s="2" t="s">
        <v>99</v>
      </c>
      <c r="C318" s="31">
        <f>62*0.5*2</f>
        <v>62</v>
      </c>
      <c r="D318" s="27" t="s">
        <v>23</v>
      </c>
      <c r="E318" s="28"/>
      <c r="F318" s="34">
        <f t="shared" si="29"/>
        <v>0</v>
      </c>
    </row>
    <row r="319" spans="1:26" x14ac:dyDescent="0.25">
      <c r="A319" s="244"/>
      <c r="B319" s="239"/>
      <c r="C319" s="245"/>
      <c r="D319" s="240"/>
      <c r="E319" s="241"/>
      <c r="F319" s="215"/>
      <c r="J319">
        <v>2.3144</v>
      </c>
    </row>
    <row r="320" spans="1:26" ht="15.75" thickBot="1" x14ac:dyDescent="0.3">
      <c r="A320" s="199">
        <v>3.6</v>
      </c>
      <c r="B320" s="258" t="s">
        <v>264</v>
      </c>
      <c r="C320" s="259"/>
      <c r="D320" s="259"/>
      <c r="E320" s="259"/>
      <c r="F320" s="155">
        <f>SUM(F322:F346)</f>
        <v>0</v>
      </c>
      <c r="J320">
        <f>J319/3</f>
        <v>0.77146666666666663</v>
      </c>
    </row>
    <row r="321" spans="1:27" ht="15.75" thickTop="1" x14ac:dyDescent="0.25">
      <c r="A321" s="86"/>
      <c r="B321" s="36"/>
      <c r="C321" s="31"/>
      <c r="D321" s="27"/>
      <c r="E321" s="28"/>
      <c r="F321" s="34"/>
    </row>
    <row r="322" spans="1:27" x14ac:dyDescent="0.25">
      <c r="A322" s="86"/>
      <c r="B322" s="14" t="s">
        <v>286</v>
      </c>
      <c r="C322" s="27"/>
      <c r="D322" s="27"/>
      <c r="E322" s="17"/>
      <c r="F322" s="34" t="str">
        <f t="shared" ref="F322:F325" si="30">IF(E322="",IF(C322="","",C322*E322),C322*E322)</f>
        <v/>
      </c>
      <c r="J322">
        <f>771/150</f>
        <v>5.14</v>
      </c>
      <c r="K322">
        <f>J322*3</f>
        <v>15.419999999999998</v>
      </c>
      <c r="M322">
        <f>K322+K323+L322+L323</f>
        <v>61.7</v>
      </c>
      <c r="N322">
        <f>M322</f>
        <v>61.7</v>
      </c>
      <c r="O322">
        <f>(N322*(10*10))/162</f>
        <v>38.086419753086417</v>
      </c>
    </row>
    <row r="323" spans="1:27" ht="15.75" x14ac:dyDescent="0.25">
      <c r="A323" s="60"/>
      <c r="B323" s="2" t="s">
        <v>122</v>
      </c>
      <c r="C323" s="31">
        <f>2.344*0.13</f>
        <v>0.30471999999999999</v>
      </c>
      <c r="D323" s="27" t="s">
        <v>83</v>
      </c>
      <c r="E323" s="17"/>
      <c r="F323" s="34">
        <f t="shared" si="30"/>
        <v>0</v>
      </c>
      <c r="J323">
        <f>3000/150</f>
        <v>20</v>
      </c>
      <c r="K323">
        <f>J323*2.314</f>
        <v>46.28</v>
      </c>
    </row>
    <row r="324" spans="1:27" x14ac:dyDescent="0.25">
      <c r="A324" s="86"/>
      <c r="B324" s="36" t="s">
        <v>0</v>
      </c>
      <c r="C324" s="31"/>
      <c r="D324" s="27"/>
      <c r="E324" s="17"/>
      <c r="F324" s="34" t="str">
        <f t="shared" si="30"/>
        <v/>
      </c>
    </row>
    <row r="325" spans="1:27" x14ac:dyDescent="0.25">
      <c r="A325" s="60"/>
      <c r="B325" s="90" t="s">
        <v>255</v>
      </c>
      <c r="C325" s="31">
        <v>38.086419999999997</v>
      </c>
      <c r="D325" s="27" t="s">
        <v>157</v>
      </c>
      <c r="E325" s="17"/>
      <c r="F325" s="34">
        <f t="shared" si="30"/>
        <v>0</v>
      </c>
    </row>
    <row r="326" spans="1:27" x14ac:dyDescent="0.25">
      <c r="A326" s="60"/>
      <c r="B326" s="90"/>
      <c r="C326" s="31"/>
      <c r="D326" s="27"/>
      <c r="E326" s="28"/>
      <c r="F326" s="34"/>
      <c r="U326" s="224"/>
      <c r="V326" s="224"/>
      <c r="W326" s="224"/>
      <c r="X326" s="224"/>
      <c r="Y326" s="224"/>
      <c r="Z326" s="224"/>
    </row>
    <row r="327" spans="1:27" x14ac:dyDescent="0.25">
      <c r="A327" s="86"/>
      <c r="B327" s="227" t="str">
        <f>CONCATENATE("Column ",H329)</f>
        <v>Column C4</v>
      </c>
      <c r="C327" s="31"/>
      <c r="D327" s="27"/>
      <c r="E327" s="17"/>
      <c r="F327" s="34" t="str">
        <f t="shared" ref="F327:F329" si="31">IF(E327="",IF(C327="","",C327*E327),C327*E327)</f>
        <v/>
      </c>
      <c r="H327" s="12"/>
      <c r="I327" t="s">
        <v>122</v>
      </c>
      <c r="P327" t="s">
        <v>198</v>
      </c>
    </row>
    <row r="328" spans="1:27" ht="15.75" x14ac:dyDescent="0.25">
      <c r="A328" s="60"/>
      <c r="B328" s="2" t="s">
        <v>123</v>
      </c>
      <c r="C328" s="31">
        <f>+N329</f>
        <v>8.2042000000000002</v>
      </c>
      <c r="D328" s="27" t="s">
        <v>83</v>
      </c>
      <c r="E328" s="28"/>
      <c r="F328" s="34">
        <f t="shared" si="31"/>
        <v>0</v>
      </c>
      <c r="H328" s="12"/>
      <c r="I328" s="12" t="s">
        <v>10</v>
      </c>
      <c r="J328" s="12" t="s">
        <v>199</v>
      </c>
      <c r="K328" s="12" t="s">
        <v>200</v>
      </c>
      <c r="L328" s="12" t="s">
        <v>27</v>
      </c>
      <c r="M328" s="12" t="s">
        <v>21</v>
      </c>
      <c r="N328" s="12" t="s">
        <v>201</v>
      </c>
      <c r="O328" t="s">
        <v>202</v>
      </c>
      <c r="P328" t="s">
        <v>203</v>
      </c>
      <c r="Q328" s="223" t="s">
        <v>10</v>
      </c>
      <c r="R328" s="224" t="s">
        <v>204</v>
      </c>
      <c r="S328" s="224" t="s">
        <v>205</v>
      </c>
      <c r="T328" s="224" t="s">
        <v>206</v>
      </c>
      <c r="U328" s="224" t="s">
        <v>207</v>
      </c>
      <c r="V328" s="224" t="s">
        <v>208</v>
      </c>
      <c r="W328" s="224" t="s">
        <v>209</v>
      </c>
      <c r="X328" s="224" t="s">
        <v>210</v>
      </c>
      <c r="Y328" s="224" t="s">
        <v>205</v>
      </c>
    </row>
    <row r="329" spans="1:27" x14ac:dyDescent="0.25">
      <c r="A329" s="86"/>
      <c r="B329" s="36" t="s">
        <v>0</v>
      </c>
      <c r="C329" s="31"/>
      <c r="D329" s="27"/>
      <c r="E329" s="28"/>
      <c r="F329" s="34" t="str">
        <f t="shared" si="31"/>
        <v/>
      </c>
      <c r="H329" s="12" t="s">
        <v>265</v>
      </c>
      <c r="I329" s="223">
        <v>4</v>
      </c>
      <c r="J329" s="223">
        <f>14.85+1.3</f>
        <v>16.149999999999999</v>
      </c>
      <c r="K329" s="223"/>
      <c r="L329" s="223"/>
      <c r="M329">
        <v>0.127</v>
      </c>
      <c r="N329">
        <f>M329*J329*I329</f>
        <v>8.2042000000000002</v>
      </c>
      <c r="O329">
        <f>1.947*J329*I329</f>
        <v>125.77619999999999</v>
      </c>
      <c r="P329" s="223">
        <v>12</v>
      </c>
      <c r="Q329" s="223">
        <v>10</v>
      </c>
      <c r="R329">
        <f>(J329+0.2)*Q329*I329</f>
        <v>653.99999999999989</v>
      </c>
      <c r="S329">
        <f>(R329*(P329*P329))/162</f>
        <v>581.33333333333326</v>
      </c>
      <c r="U329" s="223">
        <v>1</v>
      </c>
      <c r="V329" s="223">
        <v>0.15</v>
      </c>
      <c r="W329">
        <f>(J329*I329*U329)/V329</f>
        <v>430.66666666666663</v>
      </c>
      <c r="X329">
        <f>1.605*W329</f>
        <v>691.21999999999991</v>
      </c>
      <c r="Y329">
        <f>((6*6)*X329)/162</f>
        <v>153.60444444444443</v>
      </c>
    </row>
    <row r="330" spans="1:27" x14ac:dyDescent="0.25">
      <c r="A330" s="60"/>
      <c r="B330" s="90" t="str">
        <f>CONCATENATE("Steel deformed bars, ",P329," mm dia")</f>
        <v>Steel deformed bars, 12 mm dia</v>
      </c>
      <c r="C330" s="31">
        <f>+S329+Y329</f>
        <v>734.93777777777768</v>
      </c>
      <c r="D330" s="27" t="s">
        <v>212</v>
      </c>
      <c r="E330" s="28"/>
      <c r="F330" s="34">
        <f>IF(E330="",IF(C330="","",C330*E330),C330*E330)</f>
        <v>0</v>
      </c>
      <c r="H330" s="12" t="s">
        <v>211</v>
      </c>
      <c r="I330" s="223"/>
      <c r="J330" s="223">
        <v>3.85</v>
      </c>
      <c r="K330" s="223">
        <v>0.2</v>
      </c>
      <c r="L330" s="223">
        <v>0.2</v>
      </c>
      <c r="M330">
        <f>L330*K330</f>
        <v>4.0000000000000008E-2</v>
      </c>
      <c r="N330">
        <f>M330*J330*I330</f>
        <v>0</v>
      </c>
      <c r="O330">
        <f>(((J330*K330)+(J330*L330))*2)*I330</f>
        <v>0</v>
      </c>
      <c r="P330" s="223">
        <v>12</v>
      </c>
      <c r="Q330" s="223">
        <v>4</v>
      </c>
      <c r="R330">
        <f>(J330+0.2)*Q330*I330</f>
        <v>0</v>
      </c>
      <c r="S330">
        <f>(R330*(P330*P330))/162</f>
        <v>0</v>
      </c>
      <c r="U330" s="223">
        <v>1</v>
      </c>
      <c r="V330" s="223">
        <v>0.15</v>
      </c>
      <c r="W330">
        <f>(J330*I330*U330)/V330</f>
        <v>0</v>
      </c>
      <c r="X330">
        <f>(((K330-0.045)+(L330-0.045))*2)*W330</f>
        <v>0</v>
      </c>
      <c r="Y330">
        <f>((6*6)*X330)/162</f>
        <v>0</v>
      </c>
    </row>
    <row r="331" spans="1:27" x14ac:dyDescent="0.25">
      <c r="A331" s="60"/>
      <c r="B331" s="90" t="s">
        <v>98</v>
      </c>
      <c r="C331" s="31">
        <v>1</v>
      </c>
      <c r="D331" s="27" t="s">
        <v>124</v>
      </c>
      <c r="E331" s="28"/>
      <c r="F331" s="34">
        <f>IF(E331="",IF(C331="","",C331*E331),C331*E331)</f>
        <v>0</v>
      </c>
    </row>
    <row r="332" spans="1:27" x14ac:dyDescent="0.25">
      <c r="A332" s="60"/>
    </row>
    <row r="333" spans="1:27" x14ac:dyDescent="0.25">
      <c r="A333" s="60"/>
      <c r="B333" s="88" t="s">
        <v>1</v>
      </c>
      <c r="C333" s="31"/>
      <c r="D333" s="27"/>
      <c r="E333" s="28"/>
      <c r="F333" s="34" t="str">
        <f t="shared" ref="F333:F334" si="32">IF(E333="",IF(C333="","",C333*E333),C333*E333)</f>
        <v/>
      </c>
    </row>
    <row r="334" spans="1:27" ht="43.5" customHeight="1" x14ac:dyDescent="0.25">
      <c r="A334" s="60"/>
      <c r="B334" s="2" t="s">
        <v>99</v>
      </c>
      <c r="C334" s="31">
        <f>O329</f>
        <v>125.77619999999999</v>
      </c>
      <c r="D334" s="27" t="s">
        <v>23</v>
      </c>
      <c r="E334" s="28"/>
      <c r="F334" s="34">
        <f t="shared" si="32"/>
        <v>0</v>
      </c>
    </row>
    <row r="335" spans="1:27" x14ac:dyDescent="0.25">
      <c r="A335" s="60"/>
      <c r="B335" s="90"/>
      <c r="C335" s="31"/>
      <c r="D335" s="27"/>
      <c r="E335" s="28"/>
      <c r="F335" s="34"/>
      <c r="V335" s="224"/>
      <c r="W335" s="224"/>
      <c r="X335" s="224"/>
      <c r="Y335" s="224"/>
      <c r="Z335" s="224"/>
      <c r="AA335" s="224"/>
    </row>
    <row r="336" spans="1:27" x14ac:dyDescent="0.25">
      <c r="A336" s="86"/>
      <c r="B336" s="14" t="s">
        <v>266</v>
      </c>
      <c r="C336" s="27"/>
      <c r="D336" s="27"/>
      <c r="E336" s="28"/>
      <c r="F336" s="34" t="str">
        <f t="shared" ref="F336:F343" si="33">IF(E336="",IF(C336="","",C336*E336),C336*E336)</f>
        <v/>
      </c>
    </row>
    <row r="337" spans="1:26" ht="15.75" x14ac:dyDescent="0.25">
      <c r="A337" s="60"/>
      <c r="B337" s="2" t="s">
        <v>123</v>
      </c>
      <c r="C337" s="31">
        <f>L340</f>
        <v>1.1744000000000001</v>
      </c>
      <c r="D337" s="27" t="s">
        <v>83</v>
      </c>
      <c r="E337" s="28"/>
      <c r="F337" s="34">
        <f t="shared" si="33"/>
        <v>0</v>
      </c>
    </row>
    <row r="338" spans="1:26" x14ac:dyDescent="0.25">
      <c r="A338" s="86"/>
      <c r="B338" s="36" t="s">
        <v>0</v>
      </c>
      <c r="C338" s="31"/>
      <c r="D338" s="27"/>
      <c r="E338" s="28"/>
      <c r="F338" s="34" t="str">
        <f t="shared" si="33"/>
        <v/>
      </c>
      <c r="P338" t="s">
        <v>220</v>
      </c>
    </row>
    <row r="339" spans="1:26" x14ac:dyDescent="0.25">
      <c r="A339" s="60"/>
      <c r="B339" s="90" t="s">
        <v>2</v>
      </c>
      <c r="C339" s="31">
        <f>Z340</f>
        <v>27.82675555555555</v>
      </c>
      <c r="D339" s="27" t="s">
        <v>157</v>
      </c>
      <c r="E339" s="28"/>
      <c r="F339" s="34">
        <f t="shared" si="33"/>
        <v>0</v>
      </c>
      <c r="I339" t="s">
        <v>204</v>
      </c>
      <c r="J339" t="s">
        <v>27</v>
      </c>
      <c r="K339" t="s">
        <v>200</v>
      </c>
      <c r="L339" t="s">
        <v>219</v>
      </c>
      <c r="M339" t="s">
        <v>223</v>
      </c>
      <c r="P339" t="s">
        <v>221</v>
      </c>
      <c r="Q339" t="s">
        <v>10</v>
      </c>
      <c r="R339" t="s">
        <v>222</v>
      </c>
      <c r="S339" t="s">
        <v>205</v>
      </c>
      <c r="U339" s="224" t="s">
        <v>206</v>
      </c>
      <c r="V339" s="224" t="s">
        <v>207</v>
      </c>
      <c r="W339" s="224" t="s">
        <v>208</v>
      </c>
      <c r="X339" s="224" t="s">
        <v>209</v>
      </c>
      <c r="Y339" s="224" t="s">
        <v>210</v>
      </c>
      <c r="Z339" s="224" t="s">
        <v>205</v>
      </c>
    </row>
    <row r="340" spans="1:26" x14ac:dyDescent="0.25">
      <c r="A340" s="60"/>
      <c r="B340" s="90" t="s">
        <v>252</v>
      </c>
      <c r="C340" s="31">
        <f>S340</f>
        <v>104.21266476733143</v>
      </c>
      <c r="D340" s="27" t="s">
        <v>157</v>
      </c>
      <c r="E340" s="28"/>
      <c r="F340" s="34">
        <f t="shared" si="33"/>
        <v>0</v>
      </c>
      <c r="I340" s="236">
        <v>14.68</v>
      </c>
      <c r="J340" s="236">
        <v>0.4</v>
      </c>
      <c r="K340" s="236">
        <v>0.2</v>
      </c>
      <c r="L340" s="237">
        <f>K340*J340*I340</f>
        <v>1.1744000000000001</v>
      </c>
      <c r="M340">
        <f>(J340+J340+K340)*I340</f>
        <v>14.68</v>
      </c>
      <c r="P340" s="236">
        <v>16</v>
      </c>
      <c r="Q340" s="236">
        <v>4</v>
      </c>
      <c r="R340">
        <f>((((I340/5.2)*(40*P340))/1000)+I340)*Q340</f>
        <v>65.947076923076921</v>
      </c>
      <c r="S340">
        <f>((R340*(P340*P340))/162)</f>
        <v>104.21266476733143</v>
      </c>
      <c r="V340" s="223">
        <v>1</v>
      </c>
      <c r="W340" s="223">
        <v>0.1</v>
      </c>
      <c r="X340">
        <f>(I340*V340)/W340</f>
        <v>146.79999999999998</v>
      </c>
      <c r="Y340">
        <f>(0.853)*X340</f>
        <v>125.22039999999998</v>
      </c>
      <c r="Z340">
        <f>((6*6)*Y340)/162</f>
        <v>27.82675555555555</v>
      </c>
    </row>
    <row r="341" spans="1:26" x14ac:dyDescent="0.25">
      <c r="A341" s="60"/>
      <c r="B341" s="90" t="s">
        <v>98</v>
      </c>
      <c r="C341" s="31">
        <v>1</v>
      </c>
      <c r="D341" s="27" t="s">
        <v>124</v>
      </c>
      <c r="E341" s="28"/>
      <c r="F341" s="34">
        <f t="shared" si="33"/>
        <v>0</v>
      </c>
    </row>
    <row r="342" spans="1:26" x14ac:dyDescent="0.25">
      <c r="A342" s="60"/>
      <c r="B342" s="88" t="s">
        <v>1</v>
      </c>
      <c r="C342" s="31"/>
      <c r="D342" s="27"/>
      <c r="E342" s="28"/>
      <c r="F342" s="34" t="str">
        <f t="shared" si="33"/>
        <v/>
      </c>
    </row>
    <row r="343" spans="1:26" ht="43.5" customHeight="1" x14ac:dyDescent="0.25">
      <c r="A343" s="60"/>
      <c r="B343" s="2" t="s">
        <v>99</v>
      </c>
      <c r="C343" s="31">
        <f>M340</f>
        <v>14.68</v>
      </c>
      <c r="D343" s="27" t="s">
        <v>23</v>
      </c>
      <c r="E343" s="28"/>
      <c r="F343" s="34">
        <f t="shared" si="33"/>
        <v>0</v>
      </c>
    </row>
    <row r="344" spans="1:26" x14ac:dyDescent="0.25">
      <c r="A344" s="86"/>
      <c r="B344" s="14"/>
      <c r="C344" s="27"/>
      <c r="D344" s="27"/>
      <c r="E344" s="28"/>
      <c r="F344" s="34"/>
    </row>
    <row r="345" spans="1:26" x14ac:dyDescent="0.25">
      <c r="A345" s="60"/>
      <c r="B345" s="90"/>
      <c r="C345" s="31"/>
      <c r="D345" s="27"/>
      <c r="E345" s="28"/>
      <c r="F345" s="34"/>
      <c r="I345" s="236"/>
      <c r="J345" s="236"/>
      <c r="K345" s="236"/>
      <c r="L345" s="237"/>
      <c r="P345" s="236"/>
      <c r="Q345" s="236"/>
      <c r="V345" s="223"/>
      <c r="W345" s="223"/>
    </row>
    <row r="346" spans="1:26" x14ac:dyDescent="0.25">
      <c r="A346" s="60"/>
      <c r="B346" s="90"/>
      <c r="C346" s="31"/>
      <c r="D346" s="27"/>
      <c r="E346" s="28"/>
      <c r="F346" s="34"/>
    </row>
    <row r="347" spans="1:26" x14ac:dyDescent="0.25">
      <c r="A347" s="60"/>
      <c r="B347" s="88"/>
      <c r="C347" s="31"/>
      <c r="D347" s="27"/>
      <c r="E347" s="28"/>
      <c r="F347" s="34"/>
    </row>
    <row r="348" spans="1:26" ht="43.5" customHeight="1" x14ac:dyDescent="0.25">
      <c r="A348" s="60"/>
      <c r="B348" s="2"/>
      <c r="C348" s="31"/>
      <c r="D348" s="27"/>
      <c r="E348" s="28"/>
      <c r="F348" s="34"/>
    </row>
    <row r="349" spans="1:26" x14ac:dyDescent="0.25">
      <c r="A349" s="60"/>
      <c r="B349" s="2"/>
      <c r="C349" s="31"/>
      <c r="D349" s="27"/>
      <c r="E349" s="28"/>
      <c r="F349" s="34"/>
    </row>
    <row r="350" spans="1:26" x14ac:dyDescent="0.25">
      <c r="A350" s="60"/>
      <c r="B350" s="2"/>
      <c r="C350" s="31"/>
      <c r="D350" s="27"/>
      <c r="E350" s="28"/>
      <c r="F350" s="148"/>
    </row>
    <row r="351" spans="1:26" x14ac:dyDescent="0.25">
      <c r="A351" s="145"/>
      <c r="B351" s="146"/>
      <c r="C351" s="146"/>
      <c r="D351" s="146"/>
      <c r="E351" s="146"/>
      <c r="F351" s="147" t="s">
        <v>179</v>
      </c>
    </row>
  </sheetData>
  <mergeCells count="6">
    <mergeCell ref="B320:E320"/>
    <mergeCell ref="B2:E2"/>
    <mergeCell ref="B14:E14"/>
    <mergeCell ref="B61:E61"/>
    <mergeCell ref="B265:E265"/>
    <mergeCell ref="B149:E149"/>
  </mergeCells>
  <pageMargins left="0.7" right="0.7" top="0.75" bottom="0.75" header="0.3" footer="0.3"/>
  <pageSetup paperSize="9" scale="84" fitToHeight="0" orientation="portrait" r:id="rId1"/>
  <headerFooter>
    <oddHeader>&amp;L&amp;A</oddHeader>
    <oddFooter>&amp;R&amp;P of &amp;N</oddFooter>
  </headerFooter>
  <rowBreaks count="3" manualBreakCount="3">
    <brk id="13" max="16383" man="1"/>
    <brk id="60" max="16383" man="1"/>
    <brk id="264"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7"/>
  <sheetViews>
    <sheetView view="pageBreakPreview" topLeftCell="A7" zoomScaleNormal="100" zoomScaleSheetLayoutView="100" workbookViewId="0">
      <selection activeCell="B33" sqref="B33:B34"/>
    </sheetView>
  </sheetViews>
  <sheetFormatPr defaultRowHeight="15" x14ac:dyDescent="0.25"/>
  <cols>
    <col min="1" max="1" width="5.5703125" customWidth="1"/>
    <col min="2" max="2" width="48.85546875" customWidth="1"/>
    <col min="3" max="3" width="7.5703125" bestFit="1" customWidth="1"/>
    <col min="4" max="4" width="5.85546875" customWidth="1"/>
    <col min="5" max="5" width="14.42578125" customWidth="1"/>
    <col min="6" max="6" width="18.5703125" customWidth="1"/>
    <col min="12" max="12" width="15.28515625" bestFit="1" customWidth="1"/>
  </cols>
  <sheetData>
    <row r="1" spans="1:12" x14ac:dyDescent="0.25">
      <c r="A1" s="5" t="s">
        <v>11</v>
      </c>
      <c r="B1" s="6" t="s">
        <v>12</v>
      </c>
      <c r="C1" s="7" t="s">
        <v>13</v>
      </c>
      <c r="D1" s="8" t="s">
        <v>14</v>
      </c>
      <c r="E1" s="6" t="s">
        <v>121</v>
      </c>
      <c r="F1" s="9" t="s">
        <v>15</v>
      </c>
    </row>
    <row r="2" spans="1:12" ht="15.75" thickBot="1" x14ac:dyDescent="0.3">
      <c r="A2" s="10">
        <v>4</v>
      </c>
      <c r="B2" s="251" t="s">
        <v>60</v>
      </c>
      <c r="C2" s="252"/>
      <c r="D2" s="252"/>
      <c r="E2" s="264"/>
      <c r="F2" s="11"/>
    </row>
    <row r="3" spans="1:12" ht="15.75" thickTop="1" x14ac:dyDescent="0.25">
      <c r="A3" s="51"/>
      <c r="B3" s="14"/>
      <c r="C3" s="31"/>
      <c r="D3" s="27"/>
      <c r="E3" s="17"/>
      <c r="F3" s="18"/>
    </row>
    <row r="4" spans="1:12" x14ac:dyDescent="0.25">
      <c r="A4" s="48"/>
      <c r="B4" s="14" t="s">
        <v>17</v>
      </c>
      <c r="C4" s="39"/>
      <c r="D4" s="27"/>
      <c r="E4" s="47"/>
      <c r="F4" s="46"/>
    </row>
    <row r="5" spans="1:12" ht="72.75" customHeight="1" x14ac:dyDescent="0.25">
      <c r="A5" s="25" t="s">
        <v>29</v>
      </c>
      <c r="B5" s="36" t="s">
        <v>49</v>
      </c>
      <c r="C5" s="39"/>
      <c r="D5" s="27"/>
      <c r="E5" s="47"/>
      <c r="F5" s="46"/>
    </row>
    <row r="6" spans="1:12" ht="76.5" x14ac:dyDescent="0.25">
      <c r="A6" s="25" t="s">
        <v>27</v>
      </c>
      <c r="B6" s="36" t="s">
        <v>61</v>
      </c>
      <c r="C6" s="39"/>
      <c r="D6" s="27"/>
      <c r="E6" s="47"/>
      <c r="F6" s="46"/>
    </row>
    <row r="7" spans="1:12" ht="29.25" customHeight="1" x14ac:dyDescent="0.25">
      <c r="A7" s="25" t="s">
        <v>40</v>
      </c>
      <c r="B7" s="36" t="s">
        <v>50</v>
      </c>
      <c r="C7" s="39"/>
      <c r="D7" s="27"/>
      <c r="E7" s="47"/>
      <c r="F7" s="46"/>
    </row>
    <row r="8" spans="1:12" ht="33.75" customHeight="1" x14ac:dyDescent="0.25">
      <c r="A8" s="25" t="s">
        <v>38</v>
      </c>
      <c r="B8" s="36" t="s">
        <v>51</v>
      </c>
      <c r="C8" s="15"/>
      <c r="D8" s="16"/>
      <c r="E8" s="17"/>
      <c r="F8" s="18"/>
    </row>
    <row r="9" spans="1:12" ht="27" customHeight="1" x14ac:dyDescent="0.25">
      <c r="A9" s="25" t="s">
        <v>26</v>
      </c>
      <c r="B9" s="36" t="s">
        <v>52</v>
      </c>
      <c r="C9" s="15"/>
      <c r="D9" s="16"/>
      <c r="E9" s="17"/>
      <c r="F9" s="18"/>
    </row>
    <row r="10" spans="1:12" ht="27.75" customHeight="1" x14ac:dyDescent="0.25">
      <c r="A10" s="25" t="s">
        <v>91</v>
      </c>
      <c r="B10" s="36" t="s">
        <v>53</v>
      </c>
      <c r="C10" s="15"/>
      <c r="D10" s="16"/>
      <c r="E10" s="17"/>
      <c r="F10" s="18"/>
    </row>
    <row r="11" spans="1:12" x14ac:dyDescent="0.25">
      <c r="A11" s="19"/>
      <c r="B11" s="165"/>
      <c r="C11" s="166"/>
      <c r="D11" s="167"/>
      <c r="E11" s="168"/>
      <c r="F11" s="169"/>
    </row>
    <row r="12" spans="1:12" x14ac:dyDescent="0.25">
      <c r="A12" s="176">
        <v>4.0999999999999996</v>
      </c>
      <c r="B12" s="262" t="s">
        <v>62</v>
      </c>
      <c r="C12" s="263"/>
      <c r="D12" s="263"/>
      <c r="E12" s="263"/>
      <c r="F12" s="32">
        <f>+SUM(F13:F16)</f>
        <v>0</v>
      </c>
    </row>
    <row r="13" spans="1:12" s="122" customFormat="1" x14ac:dyDescent="0.25">
      <c r="A13" s="61"/>
      <c r="B13" s="2" t="s">
        <v>173</v>
      </c>
      <c r="C13" s="26">
        <v>16.899999999999999</v>
      </c>
      <c r="D13" s="27" t="s">
        <v>114</v>
      </c>
      <c r="E13" s="28"/>
      <c r="F13" s="34">
        <f>IF(E13="",IF(C13="","",C13*E13),C13*E13)</f>
        <v>0</v>
      </c>
      <c r="L13" s="238"/>
    </row>
    <row r="14" spans="1:12" s="122" customFormat="1" x14ac:dyDescent="0.25">
      <c r="A14" s="214"/>
      <c r="B14" s="2" t="s">
        <v>268</v>
      </c>
      <c r="C14" s="21">
        <v>1</v>
      </c>
      <c r="D14" s="22" t="s">
        <v>24</v>
      </c>
      <c r="E14" s="23"/>
      <c r="F14" s="34">
        <f>IF(E14="",IF(C14="","",C14*E14),C14*E14)</f>
        <v>0</v>
      </c>
      <c r="L14" s="238"/>
    </row>
    <row r="15" spans="1:12" s="122" customFormat="1" x14ac:dyDescent="0.25">
      <c r="A15" s="214"/>
      <c r="B15" s="2" t="s">
        <v>269</v>
      </c>
      <c r="C15" s="21">
        <v>1</v>
      </c>
      <c r="D15" s="22" t="s">
        <v>24</v>
      </c>
      <c r="E15" s="23"/>
      <c r="F15" s="34">
        <f>IF(E15="",IF(C15="","",C15*E15),C15*E15)</f>
        <v>0</v>
      </c>
      <c r="L15" s="238"/>
    </row>
    <row r="16" spans="1:12" s="122" customFormat="1" x14ac:dyDescent="0.25">
      <c r="A16" s="214"/>
      <c r="B16" s="239"/>
      <c r="C16" s="21"/>
      <c r="D16" s="22"/>
      <c r="E16" s="23"/>
      <c r="F16" s="215"/>
      <c r="L16" s="238"/>
    </row>
    <row r="17" spans="1:6" x14ac:dyDescent="0.25">
      <c r="A17" s="176">
        <v>4.2</v>
      </c>
      <c r="B17" s="262" t="s">
        <v>63</v>
      </c>
      <c r="C17" s="263"/>
      <c r="D17" s="263"/>
      <c r="E17" s="263"/>
      <c r="F17" s="32">
        <f>F18+F19</f>
        <v>0</v>
      </c>
    </row>
    <row r="18" spans="1:6" ht="25.5" x14ac:dyDescent="0.25">
      <c r="A18" s="200"/>
      <c r="B18" s="201" t="s">
        <v>270</v>
      </c>
      <c r="C18" s="202">
        <v>98.76</v>
      </c>
      <c r="D18" s="173" t="s">
        <v>114</v>
      </c>
      <c r="E18" s="174"/>
      <c r="F18" s="34">
        <f>IF(E18="",IF(C18="","",C18*E18),C18*E18)</f>
        <v>0</v>
      </c>
    </row>
    <row r="19" spans="1:6" x14ac:dyDescent="0.25">
      <c r="A19" s="200"/>
      <c r="B19" s="201" t="s">
        <v>271</v>
      </c>
      <c r="C19" s="202">
        <v>1</v>
      </c>
      <c r="D19" s="173" t="s">
        <v>24</v>
      </c>
      <c r="E19" s="174"/>
      <c r="F19" s="34">
        <f>IF(E19="",IF(C19="","",C19*E19),C19*E19)</f>
        <v>0</v>
      </c>
    </row>
    <row r="20" spans="1:6" x14ac:dyDescent="0.25">
      <c r="A20" s="200"/>
      <c r="B20" s="201"/>
      <c r="C20" s="202"/>
      <c r="D20" s="173"/>
      <c r="E20" s="174"/>
      <c r="F20" s="34"/>
    </row>
    <row r="21" spans="1:6" x14ac:dyDescent="0.25">
      <c r="A21" s="176">
        <v>4.3</v>
      </c>
      <c r="B21" s="262" t="s">
        <v>264</v>
      </c>
      <c r="C21" s="263"/>
      <c r="D21" s="263"/>
      <c r="E21" s="263"/>
      <c r="F21" s="32">
        <f>F22+F23</f>
        <v>0</v>
      </c>
    </row>
    <row r="22" spans="1:6" ht="25.5" x14ac:dyDescent="0.25">
      <c r="A22" s="200"/>
      <c r="B22" s="201" t="s">
        <v>272</v>
      </c>
      <c r="C22" s="202">
        <f>0.83*4*14.85</f>
        <v>49.302</v>
      </c>
      <c r="D22" s="173" t="s">
        <v>114</v>
      </c>
      <c r="E22" s="174"/>
      <c r="F22" s="34">
        <f>IF(E22="",IF(C22="","",C22*E22),C22*E22)</f>
        <v>0</v>
      </c>
    </row>
    <row r="23" spans="1:6" x14ac:dyDescent="0.25">
      <c r="A23" s="200"/>
      <c r="B23" s="201" t="s">
        <v>273</v>
      </c>
      <c r="C23" s="202">
        <v>1</v>
      </c>
      <c r="D23" s="173" t="s">
        <v>24</v>
      </c>
      <c r="E23" s="174"/>
      <c r="F23" s="34">
        <f>IF(E23="",IF(C23="","",C23*E23),C23*E23)</f>
        <v>0</v>
      </c>
    </row>
    <row r="24" spans="1:6" x14ac:dyDescent="0.25">
      <c r="A24" s="200"/>
      <c r="B24" s="201" t="s">
        <v>315</v>
      </c>
      <c r="C24" s="202">
        <v>1</v>
      </c>
      <c r="D24" s="173" t="s">
        <v>24</v>
      </c>
      <c r="E24" s="174"/>
      <c r="F24" s="34"/>
    </row>
    <row r="25" spans="1:6" x14ac:dyDescent="0.25">
      <c r="A25" s="200"/>
      <c r="B25" s="201"/>
      <c r="C25" s="202"/>
      <c r="D25" s="173"/>
      <c r="E25" s="174"/>
      <c r="F25" s="34"/>
    </row>
    <row r="26" spans="1:6" x14ac:dyDescent="0.25">
      <c r="A26" s="200"/>
      <c r="B26" s="201"/>
      <c r="C26" s="202"/>
      <c r="D26" s="173"/>
      <c r="E26" s="174"/>
      <c r="F26" s="34"/>
    </row>
    <row r="27" spans="1:6" x14ac:dyDescent="0.25">
      <c r="A27" s="145"/>
      <c r="B27" s="146"/>
      <c r="C27" s="146"/>
      <c r="D27" s="146"/>
      <c r="E27" s="146"/>
      <c r="F27" s="147" t="s">
        <v>180</v>
      </c>
    </row>
  </sheetData>
  <mergeCells count="4">
    <mergeCell ref="B17:E17"/>
    <mergeCell ref="B2:E2"/>
    <mergeCell ref="B12:E12"/>
    <mergeCell ref="B21:E21"/>
  </mergeCells>
  <pageMargins left="0.7" right="0.7" top="0.75" bottom="0.75" header="0.3" footer="0.3"/>
  <pageSetup paperSize="9" scale="85"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4"/>
  <sheetViews>
    <sheetView view="pageBreakPreview" zoomScale="85" zoomScaleNormal="100" zoomScaleSheetLayoutView="85" workbookViewId="0">
      <selection activeCell="F10" sqref="F10"/>
    </sheetView>
  </sheetViews>
  <sheetFormatPr defaultRowHeight="15" x14ac:dyDescent="0.25"/>
  <cols>
    <col min="1" max="1" width="5.42578125" bestFit="1" customWidth="1"/>
    <col min="2" max="2" width="42.5703125" customWidth="1"/>
    <col min="3" max="3" width="9.140625" customWidth="1"/>
    <col min="4" max="4" width="6.28515625" customWidth="1"/>
    <col min="5" max="5" width="10.85546875" customWidth="1"/>
    <col min="6" max="6" width="17.42578125" customWidth="1"/>
  </cols>
  <sheetData>
    <row r="1" spans="1:6" x14ac:dyDescent="0.25">
      <c r="A1" s="5" t="s">
        <v>11</v>
      </c>
      <c r="B1" s="6" t="s">
        <v>12</v>
      </c>
      <c r="C1" s="7" t="s">
        <v>13</v>
      </c>
      <c r="D1" s="8" t="s">
        <v>14</v>
      </c>
      <c r="E1" s="6" t="s">
        <v>121</v>
      </c>
      <c r="F1" s="9" t="s">
        <v>15</v>
      </c>
    </row>
    <row r="2" spans="1:6" ht="15.75" thickBot="1" x14ac:dyDescent="0.3">
      <c r="A2" s="10">
        <v>5</v>
      </c>
      <c r="B2" s="260" t="s">
        <v>16</v>
      </c>
      <c r="C2" s="261"/>
      <c r="D2" s="261"/>
      <c r="E2" s="261"/>
      <c r="F2" s="11"/>
    </row>
    <row r="3" spans="1:6" ht="15.75" thickTop="1" x14ac:dyDescent="0.25">
      <c r="A3" s="13"/>
      <c r="B3" s="14" t="s">
        <v>17</v>
      </c>
      <c r="C3" s="15"/>
      <c r="D3" s="16"/>
      <c r="E3" s="17"/>
      <c r="F3" s="18"/>
    </row>
    <row r="4" spans="1:6" ht="204" x14ac:dyDescent="0.25">
      <c r="A4" s="19" t="s">
        <v>29</v>
      </c>
      <c r="B4" s="20" t="s">
        <v>54</v>
      </c>
      <c r="C4" s="21"/>
      <c r="D4" s="22"/>
      <c r="E4" s="23"/>
      <c r="F4" s="24"/>
    </row>
    <row r="5" spans="1:6" ht="45.95" customHeight="1" x14ac:dyDescent="0.25">
      <c r="A5" s="25" t="s">
        <v>27</v>
      </c>
      <c r="B5" s="2" t="s">
        <v>18</v>
      </c>
      <c r="C5" s="26"/>
      <c r="D5" s="27"/>
      <c r="E5" s="28"/>
      <c r="F5" s="29"/>
    </row>
    <row r="6" spans="1:6" ht="44.45" customHeight="1" x14ac:dyDescent="0.25">
      <c r="A6" s="25" t="s">
        <v>40</v>
      </c>
      <c r="B6" s="2" t="s">
        <v>19</v>
      </c>
      <c r="C6" s="26"/>
      <c r="D6" s="27"/>
      <c r="E6" s="28"/>
      <c r="F6" s="29"/>
    </row>
    <row r="7" spans="1:6" ht="32.1" customHeight="1" x14ac:dyDescent="0.25">
      <c r="A7" s="25" t="s">
        <v>38</v>
      </c>
      <c r="B7" s="2" t="s">
        <v>20</v>
      </c>
      <c r="C7" s="26"/>
      <c r="D7" s="27"/>
      <c r="E7" s="28"/>
      <c r="F7" s="29"/>
    </row>
    <row r="8" spans="1:6" x14ac:dyDescent="0.25">
      <c r="A8" s="205"/>
      <c r="B8" s="206"/>
      <c r="C8" s="207"/>
      <c r="D8" s="22"/>
      <c r="E8" s="168"/>
      <c r="F8" s="169"/>
    </row>
    <row r="9" spans="1:6" x14ac:dyDescent="0.25">
      <c r="A9" s="176">
        <v>5.0999999999999996</v>
      </c>
      <c r="B9" s="265" t="s">
        <v>62</v>
      </c>
      <c r="C9" s="266"/>
      <c r="D9" s="266"/>
      <c r="E9" s="266"/>
      <c r="F9" s="32">
        <f>SUM(F12:F14)</f>
        <v>0</v>
      </c>
    </row>
    <row r="10" spans="1:6" x14ac:dyDescent="0.25">
      <c r="A10" s="170"/>
      <c r="B10" s="171"/>
      <c r="C10" s="172"/>
      <c r="D10" s="173"/>
      <c r="E10" s="174"/>
      <c r="F10" s="175"/>
    </row>
    <row r="11" spans="1:6" x14ac:dyDescent="0.25">
      <c r="A11" s="60">
        <v>1</v>
      </c>
      <c r="B11" s="14" t="s">
        <v>22</v>
      </c>
      <c r="C11" s="15"/>
      <c r="D11" s="16"/>
      <c r="E11" s="17"/>
      <c r="F11" s="34" t="str">
        <f>IF(E11="","",C11*E11)</f>
        <v/>
      </c>
    </row>
    <row r="12" spans="1:6" ht="38.25" x14ac:dyDescent="0.25">
      <c r="A12" s="25"/>
      <c r="B12" s="36" t="s">
        <v>274</v>
      </c>
      <c r="C12" s="26">
        <f>1.81*4.35*4</f>
        <v>31.494</v>
      </c>
      <c r="D12" s="27" t="s">
        <v>114</v>
      </c>
      <c r="E12" s="28"/>
      <c r="F12" s="34">
        <f>IF(E12="",IF(C12="","",C12*E12),C12*E12)</f>
        <v>0</v>
      </c>
    </row>
    <row r="13" spans="1:6" ht="38.25" x14ac:dyDescent="0.25">
      <c r="A13" s="35"/>
      <c r="B13" s="36" t="s">
        <v>275</v>
      </c>
      <c r="C13" s="26">
        <f>37.123*4.35</f>
        <v>161.48504999999997</v>
      </c>
      <c r="D13" s="27" t="s">
        <v>114</v>
      </c>
      <c r="E13" s="28"/>
      <c r="F13" s="34">
        <f t="shared" ref="F13:F14" si="0">IF(E13="",IF(C13="","",C13*E13),C13*E13)</f>
        <v>0</v>
      </c>
    </row>
    <row r="14" spans="1:6" x14ac:dyDescent="0.25">
      <c r="A14" s="35"/>
      <c r="B14" s="36" t="s">
        <v>276</v>
      </c>
      <c r="C14" s="26">
        <f>76.401*2.375</f>
        <v>181.45237499999999</v>
      </c>
      <c r="D14" s="27" t="s">
        <v>114</v>
      </c>
      <c r="E14" s="28"/>
      <c r="F14" s="34">
        <f t="shared" si="0"/>
        <v>0</v>
      </c>
    </row>
    <row r="15" spans="1:6" x14ac:dyDescent="0.25">
      <c r="A15" s="35"/>
      <c r="B15" s="36"/>
      <c r="C15" s="37"/>
      <c r="D15" s="27"/>
      <c r="E15" s="38"/>
      <c r="F15" s="34"/>
    </row>
    <row r="16" spans="1:6" x14ac:dyDescent="0.25">
      <c r="A16" s="176">
        <v>5.0999999999999996</v>
      </c>
      <c r="B16" s="265" t="s">
        <v>277</v>
      </c>
      <c r="C16" s="266"/>
      <c r="D16" s="266"/>
      <c r="E16" s="266"/>
      <c r="F16" s="32">
        <f>SUM(F19:F21)</f>
        <v>0</v>
      </c>
    </row>
    <row r="17" spans="1:6" x14ac:dyDescent="0.25">
      <c r="A17" s="170"/>
      <c r="B17" s="171"/>
      <c r="C17" s="172"/>
      <c r="D17" s="173"/>
      <c r="E17" s="174"/>
      <c r="F17" s="175"/>
    </row>
    <row r="18" spans="1:6" x14ac:dyDescent="0.25">
      <c r="A18" s="60">
        <v>1</v>
      </c>
      <c r="B18" s="14" t="s">
        <v>22</v>
      </c>
      <c r="C18" s="15"/>
      <c r="D18" s="16"/>
      <c r="E18" s="17"/>
      <c r="F18" s="34" t="str">
        <f>IF(E18="","",C18*E18)</f>
        <v/>
      </c>
    </row>
    <row r="19" spans="1:6" ht="38.25" x14ac:dyDescent="0.25">
      <c r="A19" s="25"/>
      <c r="B19" s="36" t="s">
        <v>274</v>
      </c>
      <c r="C19" s="26">
        <f>1.81*4.35*2</f>
        <v>15.747</v>
      </c>
      <c r="D19" s="27" t="s">
        <v>114</v>
      </c>
      <c r="E19" s="28"/>
      <c r="F19" s="34">
        <f>IF(E19="",IF(C19="","",C19*E19),C19*E19)</f>
        <v>0</v>
      </c>
    </row>
    <row r="20" spans="1:6" ht="38.25" x14ac:dyDescent="0.25">
      <c r="A20" s="35"/>
      <c r="B20" s="36" t="s">
        <v>275</v>
      </c>
      <c r="C20" s="26">
        <f>3.093*2*4.35</f>
        <v>26.909099999999999</v>
      </c>
      <c r="D20" s="27" t="s">
        <v>114</v>
      </c>
      <c r="E20" s="28"/>
      <c r="F20" s="34">
        <f t="shared" ref="F20:F21" si="1">IF(E20="",IF(C20="","",C20*E20),C20*E20)</f>
        <v>0</v>
      </c>
    </row>
    <row r="21" spans="1:6" ht="38.25" x14ac:dyDescent="0.25">
      <c r="A21" s="35"/>
      <c r="B21" s="36" t="s">
        <v>278</v>
      </c>
      <c r="C21" s="26">
        <f>8.11*2*1.2</f>
        <v>19.463999999999999</v>
      </c>
      <c r="D21" s="27" t="s">
        <v>114</v>
      </c>
      <c r="E21" s="28"/>
      <c r="F21" s="34">
        <f t="shared" si="1"/>
        <v>0</v>
      </c>
    </row>
    <row r="22" spans="1:6" x14ac:dyDescent="0.25">
      <c r="A22" s="35"/>
      <c r="B22" s="36"/>
      <c r="C22" s="37"/>
      <c r="D22" s="27"/>
      <c r="E22" s="38"/>
      <c r="F22" s="34"/>
    </row>
    <row r="23" spans="1:6" ht="12" customHeight="1" x14ac:dyDescent="0.25">
      <c r="A23" s="61"/>
      <c r="B23" s="2"/>
      <c r="C23" s="45"/>
      <c r="D23" s="27"/>
      <c r="E23" s="28"/>
      <c r="F23" s="34"/>
    </row>
    <row r="24" spans="1:6" x14ac:dyDescent="0.25">
      <c r="A24" s="145"/>
      <c r="B24" s="146"/>
      <c r="C24" s="146"/>
      <c r="D24" s="146"/>
      <c r="E24" s="146"/>
      <c r="F24" s="147" t="s">
        <v>181</v>
      </c>
    </row>
  </sheetData>
  <mergeCells count="3">
    <mergeCell ref="B2:E2"/>
    <mergeCell ref="B9:E9"/>
    <mergeCell ref="B16:E16"/>
  </mergeCells>
  <phoneticPr fontId="11" type="noConversion"/>
  <pageMargins left="0.7" right="0.7" top="0.75" bottom="0.75" header="0.3" footer="0.3"/>
  <pageSetup paperSize="9" scale="85"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BreakPreview" zoomScale="90" zoomScaleNormal="85" zoomScaleSheetLayoutView="90" workbookViewId="0">
      <selection activeCell="F19" sqref="F19"/>
    </sheetView>
  </sheetViews>
  <sheetFormatPr defaultRowHeight="15" outlineLevelRow="1" x14ac:dyDescent="0.25"/>
  <cols>
    <col min="1" max="1" width="4.5703125" bestFit="1" customWidth="1"/>
    <col min="2" max="2" width="42.85546875" customWidth="1"/>
    <col min="3" max="3" width="5.85546875" customWidth="1"/>
    <col min="4" max="4" width="6.85546875" customWidth="1"/>
    <col min="5" max="5" width="12.85546875" bestFit="1" customWidth="1"/>
    <col min="6" max="6" width="16.42578125" customWidth="1"/>
  </cols>
  <sheetData>
    <row r="1" spans="1:6" x14ac:dyDescent="0.25">
      <c r="A1" s="5" t="s">
        <v>11</v>
      </c>
      <c r="B1" s="6" t="s">
        <v>12</v>
      </c>
      <c r="C1" s="7" t="s">
        <v>13</v>
      </c>
      <c r="D1" s="8" t="s">
        <v>14</v>
      </c>
      <c r="E1" s="6" t="s">
        <v>121</v>
      </c>
      <c r="F1" s="9" t="s">
        <v>15</v>
      </c>
    </row>
    <row r="2" spans="1:6" s="52" customFormat="1" thickBot="1" x14ac:dyDescent="0.25">
      <c r="A2" s="10">
        <v>6</v>
      </c>
      <c r="B2" s="251" t="s">
        <v>55</v>
      </c>
      <c r="C2" s="252"/>
      <c r="D2" s="252"/>
      <c r="E2" s="252"/>
      <c r="F2" s="11"/>
    </row>
    <row r="3" spans="1:6" s="44" customFormat="1" ht="13.5" outlineLevel="1" thickTop="1" x14ac:dyDescent="0.2">
      <c r="A3" s="48"/>
      <c r="B3" s="14" t="s">
        <v>17</v>
      </c>
      <c r="C3" s="39"/>
      <c r="D3" s="27"/>
      <c r="E3" s="47"/>
      <c r="F3" s="46"/>
    </row>
    <row r="4" spans="1:6" s="44" customFormat="1" ht="51" outlineLevel="1" x14ac:dyDescent="0.2">
      <c r="A4" s="25" t="s">
        <v>29</v>
      </c>
      <c r="B4" s="36" t="s">
        <v>28</v>
      </c>
      <c r="C4" s="39"/>
      <c r="D4" s="27"/>
      <c r="E4" s="47"/>
      <c r="F4" s="46"/>
    </row>
    <row r="5" spans="1:6" s="44" customFormat="1" ht="63.75" outlineLevel="1" x14ac:dyDescent="0.2">
      <c r="A5" s="25" t="s">
        <v>27</v>
      </c>
      <c r="B5" s="36" t="s">
        <v>58</v>
      </c>
      <c r="C5" s="39"/>
      <c r="D5" s="27"/>
      <c r="E5" s="47"/>
      <c r="F5" s="46"/>
    </row>
    <row r="6" spans="1:6" s="50" customFormat="1" ht="25.5" outlineLevel="1" x14ac:dyDescent="0.2">
      <c r="A6" s="25" t="s">
        <v>40</v>
      </c>
      <c r="B6" s="36" t="s">
        <v>25</v>
      </c>
      <c r="C6" s="15"/>
      <c r="D6" s="16"/>
      <c r="E6" s="17"/>
      <c r="F6" s="18"/>
    </row>
    <row r="7" spans="1:6" s="50" customFormat="1" ht="12.75" outlineLevel="1" x14ac:dyDescent="0.2">
      <c r="A7" s="19"/>
      <c r="B7" s="165"/>
      <c r="C7" s="166"/>
      <c r="D7" s="167"/>
      <c r="E7" s="168"/>
      <c r="F7" s="169"/>
    </row>
    <row r="8" spans="1:6" s="49" customFormat="1" ht="12.75" x14ac:dyDescent="0.2">
      <c r="A8" s="176">
        <v>6.1</v>
      </c>
      <c r="B8" s="265" t="s">
        <v>62</v>
      </c>
      <c r="C8" s="266"/>
      <c r="D8" s="266"/>
      <c r="E8" s="266"/>
      <c r="F8" s="32">
        <f>SUM(F9:F18)</f>
        <v>0</v>
      </c>
    </row>
    <row r="9" spans="1:6" x14ac:dyDescent="0.25">
      <c r="A9" s="210"/>
      <c r="B9" s="173" t="s">
        <v>115</v>
      </c>
      <c r="C9" s="211">
        <v>6</v>
      </c>
      <c r="D9" s="173" t="s">
        <v>10</v>
      </c>
      <c r="E9" s="174"/>
      <c r="F9" s="34">
        <f t="shared" ref="F9:F18" si="0">IF(E9="",IF(C9="","",C9*E9),C9*E9)</f>
        <v>0</v>
      </c>
    </row>
    <row r="10" spans="1:6" x14ac:dyDescent="0.25">
      <c r="A10" s="160"/>
      <c r="B10" s="173" t="s">
        <v>116</v>
      </c>
      <c r="C10" s="37">
        <v>4</v>
      </c>
      <c r="D10" s="173" t="s">
        <v>10</v>
      </c>
      <c r="E10" s="28"/>
      <c r="F10" s="34">
        <f t="shared" si="0"/>
        <v>0</v>
      </c>
    </row>
    <row r="11" spans="1:6" x14ac:dyDescent="0.25">
      <c r="A11" s="160"/>
      <c r="B11" s="27" t="s">
        <v>279</v>
      </c>
      <c r="C11" s="37">
        <v>2</v>
      </c>
      <c r="D11" s="173" t="s">
        <v>10</v>
      </c>
      <c r="E11" s="28"/>
      <c r="F11" s="34">
        <f t="shared" si="0"/>
        <v>0</v>
      </c>
    </row>
    <row r="12" spans="1:6" x14ac:dyDescent="0.25">
      <c r="A12" s="160"/>
      <c r="B12" s="27" t="s">
        <v>280</v>
      </c>
      <c r="C12" s="37">
        <v>1</v>
      </c>
      <c r="D12" s="173" t="s">
        <v>10</v>
      </c>
      <c r="E12" s="28"/>
      <c r="F12" s="34">
        <f t="shared" ref="F12:F17" si="1">IF(E12="",IF(C12="","",C12*E12),C12*E12)</f>
        <v>0</v>
      </c>
    </row>
    <row r="13" spans="1:6" x14ac:dyDescent="0.25">
      <c r="A13" s="160"/>
      <c r="B13" s="27" t="s">
        <v>117</v>
      </c>
      <c r="C13" s="37">
        <v>5</v>
      </c>
      <c r="D13" s="173" t="s">
        <v>10</v>
      </c>
      <c r="E13" s="28"/>
      <c r="F13" s="34">
        <f t="shared" si="1"/>
        <v>0</v>
      </c>
    </row>
    <row r="14" spans="1:6" x14ac:dyDescent="0.25">
      <c r="A14" s="160"/>
      <c r="B14" s="27" t="s">
        <v>216</v>
      </c>
      <c r="C14" s="37">
        <v>2</v>
      </c>
      <c r="D14" s="173" t="s">
        <v>10</v>
      </c>
      <c r="E14" s="28"/>
      <c r="F14" s="34">
        <f t="shared" si="1"/>
        <v>0</v>
      </c>
    </row>
    <row r="15" spans="1:6" x14ac:dyDescent="0.25">
      <c r="A15" s="160"/>
      <c r="B15" s="27" t="s">
        <v>281</v>
      </c>
      <c r="C15" s="37">
        <v>1</v>
      </c>
      <c r="D15" s="173" t="s">
        <v>10</v>
      </c>
      <c r="E15" s="28"/>
      <c r="F15" s="34">
        <f t="shared" si="1"/>
        <v>0</v>
      </c>
    </row>
    <row r="16" spans="1:6" x14ac:dyDescent="0.25">
      <c r="A16" s="160"/>
      <c r="B16" s="27" t="s">
        <v>282</v>
      </c>
      <c r="C16" s="37">
        <v>1</v>
      </c>
      <c r="D16" s="173" t="s">
        <v>10</v>
      </c>
      <c r="E16" s="28"/>
      <c r="F16" s="34">
        <f t="shared" si="1"/>
        <v>0</v>
      </c>
    </row>
    <row r="17" spans="1:8" x14ac:dyDescent="0.25">
      <c r="A17" s="160"/>
      <c r="B17" s="27" t="s">
        <v>283</v>
      </c>
      <c r="C17" s="37">
        <v>1</v>
      </c>
      <c r="D17" s="173" t="s">
        <v>10</v>
      </c>
      <c r="E17" s="28"/>
      <c r="F17" s="34">
        <f t="shared" si="1"/>
        <v>0</v>
      </c>
    </row>
    <row r="18" spans="1:8" s="53" customFormat="1" x14ac:dyDescent="0.25">
      <c r="A18" s="160"/>
      <c r="B18" s="228"/>
      <c r="C18" s="229"/>
      <c r="D18" s="228"/>
      <c r="E18" s="28"/>
      <c r="F18" s="34" t="str">
        <f t="shared" si="0"/>
        <v/>
      </c>
      <c r="G18" s="54"/>
      <c r="H18" s="54"/>
    </row>
    <row r="19" spans="1:8" s="49" customFormat="1" ht="12.75" x14ac:dyDescent="0.2">
      <c r="A19" s="176">
        <v>6.1</v>
      </c>
      <c r="B19" s="265" t="s">
        <v>284</v>
      </c>
      <c r="C19" s="266"/>
      <c r="D19" s="266"/>
      <c r="E19" s="266"/>
      <c r="F19" s="32">
        <f>SUM(F20:F23)</f>
        <v>0</v>
      </c>
    </row>
    <row r="20" spans="1:8" x14ac:dyDescent="0.25">
      <c r="A20" s="160"/>
      <c r="B20" s="27" t="s">
        <v>117</v>
      </c>
      <c r="C20" s="37">
        <v>6</v>
      </c>
      <c r="D20" s="173" t="s">
        <v>10</v>
      </c>
      <c r="E20" s="28"/>
      <c r="F20" s="34">
        <f t="shared" ref="F20:F23" si="2">IF(E20="",IF(C20="","",C20*E20),C20*E20)</f>
        <v>0</v>
      </c>
    </row>
    <row r="21" spans="1:8" x14ac:dyDescent="0.25">
      <c r="A21" s="160"/>
      <c r="B21" s="27" t="s">
        <v>281</v>
      </c>
      <c r="C21" s="37">
        <v>2</v>
      </c>
      <c r="D21" s="173" t="s">
        <v>10</v>
      </c>
      <c r="E21" s="28"/>
      <c r="F21" s="34">
        <f t="shared" si="2"/>
        <v>0</v>
      </c>
    </row>
    <row r="22" spans="1:8" x14ac:dyDescent="0.25">
      <c r="A22" s="160"/>
      <c r="B22" s="27" t="s">
        <v>285</v>
      </c>
      <c r="C22" s="37">
        <v>13</v>
      </c>
      <c r="D22" s="173" t="s">
        <v>10</v>
      </c>
      <c r="E22" s="28"/>
      <c r="F22" s="34">
        <f t="shared" si="2"/>
        <v>0</v>
      </c>
    </row>
    <row r="23" spans="1:8" s="53" customFormat="1" x14ac:dyDescent="0.25">
      <c r="A23" s="160"/>
      <c r="B23" s="228"/>
      <c r="C23" s="229"/>
      <c r="D23" s="228"/>
      <c r="E23" s="28"/>
      <c r="F23" s="34" t="str">
        <f t="shared" si="2"/>
        <v/>
      </c>
      <c r="G23" s="54"/>
      <c r="H23" s="54"/>
    </row>
    <row r="24" spans="1:8" x14ac:dyDescent="0.25">
      <c r="A24" s="145"/>
      <c r="B24" s="146"/>
      <c r="C24" s="146"/>
      <c r="D24" s="146"/>
      <c r="E24" s="146"/>
      <c r="F24" s="147" t="s">
        <v>182</v>
      </c>
    </row>
    <row r="28" spans="1:8" s="40" customFormat="1" ht="11.25" x14ac:dyDescent="0.2">
      <c r="A28" s="42"/>
      <c r="B28" s="43"/>
      <c r="G28" s="41"/>
    </row>
  </sheetData>
  <mergeCells count="3">
    <mergeCell ref="B2:E2"/>
    <mergeCell ref="B8:E8"/>
    <mergeCell ref="B19:E19"/>
  </mergeCells>
  <phoneticPr fontId="11" type="noConversion"/>
  <pageMargins left="0.7" right="0.7" top="0.75" bottom="0.75" header="0.3" footer="0.3"/>
  <pageSetup paperSize="9" scale="85"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1"/>
  <sheetViews>
    <sheetView view="pageBreakPreview" zoomScaleNormal="85" zoomScaleSheetLayoutView="100" workbookViewId="0">
      <selection activeCell="F9" sqref="F9"/>
    </sheetView>
  </sheetViews>
  <sheetFormatPr defaultRowHeight="15" outlineLevelRow="1" x14ac:dyDescent="0.25"/>
  <cols>
    <col min="1" max="1" width="4.5703125" bestFit="1" customWidth="1"/>
    <col min="2" max="2" width="42.85546875" customWidth="1"/>
    <col min="3" max="3" width="11" bestFit="1" customWidth="1"/>
    <col min="4" max="4" width="5.7109375" customWidth="1"/>
    <col min="5" max="5" width="13.140625" customWidth="1"/>
    <col min="6" max="6" width="13.42578125" customWidth="1"/>
  </cols>
  <sheetData>
    <row r="1" spans="1:6" x14ac:dyDescent="0.25">
      <c r="A1" s="5" t="s">
        <v>11</v>
      </c>
      <c r="B1" s="6" t="s">
        <v>12</v>
      </c>
      <c r="C1" s="7" t="s">
        <v>13</v>
      </c>
      <c r="D1" s="8" t="s">
        <v>14</v>
      </c>
      <c r="E1" s="6" t="s">
        <v>138</v>
      </c>
      <c r="F1" s="9" t="s">
        <v>15</v>
      </c>
    </row>
    <row r="2" spans="1:6" s="52" customFormat="1" thickBot="1" x14ac:dyDescent="0.25">
      <c r="A2" s="10">
        <v>7</v>
      </c>
      <c r="B2" s="260" t="s">
        <v>133</v>
      </c>
      <c r="C2" s="261"/>
      <c r="D2" s="261"/>
      <c r="E2" s="261"/>
      <c r="F2" s="11"/>
    </row>
    <row r="3" spans="1:6" s="44" customFormat="1" ht="13.5" outlineLevel="1" thickTop="1" x14ac:dyDescent="0.2">
      <c r="A3" s="48"/>
      <c r="B3" s="14" t="s">
        <v>17</v>
      </c>
      <c r="C3" s="106"/>
      <c r="D3" s="27"/>
      <c r="E3" s="28"/>
      <c r="F3" s="29"/>
    </row>
    <row r="4" spans="1:6" s="44" customFormat="1" ht="76.5" outlineLevel="1" x14ac:dyDescent="0.2">
      <c r="A4" s="25" t="s">
        <v>29</v>
      </c>
      <c r="B4" s="36" t="s">
        <v>134</v>
      </c>
      <c r="C4" s="106"/>
      <c r="D4" s="27"/>
      <c r="E4" s="28"/>
      <c r="F4" s="29"/>
    </row>
    <row r="5" spans="1:6" s="44" customFormat="1" ht="25.5" outlineLevel="1" x14ac:dyDescent="0.2">
      <c r="A5" s="25" t="s">
        <v>27</v>
      </c>
      <c r="B5" s="36" t="s">
        <v>135</v>
      </c>
      <c r="C5" s="106"/>
      <c r="D5" s="27"/>
      <c r="E5" s="28"/>
      <c r="F5" s="29"/>
    </row>
    <row r="6" spans="1:6" s="50" customFormat="1" ht="25.5" outlineLevel="1" x14ac:dyDescent="0.2">
      <c r="A6" s="25" t="s">
        <v>40</v>
      </c>
      <c r="B6" s="36" t="s">
        <v>136</v>
      </c>
      <c r="C6" s="106"/>
      <c r="D6" s="27"/>
      <c r="E6" s="28"/>
      <c r="F6" s="29"/>
    </row>
    <row r="7" spans="1:6" s="50" customFormat="1" ht="12.75" outlineLevel="1" x14ac:dyDescent="0.2">
      <c r="A7" s="205"/>
      <c r="B7" s="206"/>
      <c r="C7" s="207"/>
      <c r="D7" s="22"/>
      <c r="E7" s="168"/>
      <c r="F7" s="169"/>
    </row>
    <row r="8" spans="1:6" s="49" customFormat="1" ht="12.75" x14ac:dyDescent="0.2">
      <c r="A8" s="176">
        <v>7.1</v>
      </c>
      <c r="B8" s="262" t="s">
        <v>62</v>
      </c>
      <c r="C8" s="263"/>
      <c r="D8" s="263"/>
      <c r="E8" s="263"/>
      <c r="F8" s="32">
        <f>+SUM(F10:F11)</f>
        <v>0</v>
      </c>
    </row>
    <row r="9" spans="1:6" x14ac:dyDescent="0.25">
      <c r="A9" s="208"/>
      <c r="B9" s="84"/>
      <c r="C9" s="209"/>
      <c r="D9" s="173"/>
      <c r="E9" s="80"/>
      <c r="F9" s="34" t="str">
        <f>IF(E9="","",C9*E9)</f>
        <v/>
      </c>
    </row>
    <row r="10" spans="1:6" s="49" customFormat="1" ht="12.75" x14ac:dyDescent="0.2">
      <c r="A10" s="103"/>
      <c r="B10" s="36" t="s">
        <v>224</v>
      </c>
      <c r="C10" s="104">
        <f>(('BILL 5 MASONRY AND PLASTERING'!C12+'BILL 5 MASONRY AND PLASTERING'!C13+'BILL 5 MASONRY AND PLASTERING'!C14)*2)+(4.272*8*4.375)</f>
        <v>898.38284999999996</v>
      </c>
      <c r="D10" s="27" t="s">
        <v>114</v>
      </c>
      <c r="E10" s="28"/>
      <c r="F10" s="34">
        <f>IF(E10="",IF(C10="","",C10*E10),C10*E10)</f>
        <v>0</v>
      </c>
    </row>
    <row r="11" spans="1:6" x14ac:dyDescent="0.25">
      <c r="A11" s="103"/>
      <c r="B11" s="36" t="s">
        <v>137</v>
      </c>
      <c r="C11" s="104">
        <v>336.59</v>
      </c>
      <c r="D11" s="27" t="s">
        <v>114</v>
      </c>
      <c r="E11" s="28"/>
      <c r="F11" s="34">
        <f>IF(E11="",IF(C11="","",C11*E11),C11*E11)</f>
        <v>0</v>
      </c>
    </row>
    <row r="12" spans="1:6" s="49" customFormat="1" ht="12.75" x14ac:dyDescent="0.2">
      <c r="A12" s="176">
        <v>7.2</v>
      </c>
      <c r="B12" s="262" t="s">
        <v>62</v>
      </c>
      <c r="C12" s="263"/>
      <c r="D12" s="263"/>
      <c r="E12" s="263"/>
      <c r="F12" s="32">
        <f>+SUM(F14:F16)</f>
        <v>0</v>
      </c>
    </row>
    <row r="13" spans="1:6" x14ac:dyDescent="0.25">
      <c r="A13" s="208"/>
      <c r="B13" s="84"/>
      <c r="C13" s="209"/>
      <c r="D13" s="173"/>
      <c r="E13" s="80"/>
      <c r="F13" s="34" t="str">
        <f>IF(E13="","",C13*E13)</f>
        <v/>
      </c>
    </row>
    <row r="14" spans="1:6" s="49" customFormat="1" ht="12.75" x14ac:dyDescent="0.2">
      <c r="A14" s="103"/>
      <c r="B14" s="36" t="s">
        <v>224</v>
      </c>
      <c r="C14" s="104">
        <f>(('BILL 5 MASONRY AND PLASTERING'!C21+'BILL 5 MASONRY AND PLASTERING'!C20+'BILL 5 MASONRY AND PLASTERING'!C19)*2)+(4.272*8*4.375)</f>
        <v>273.7602</v>
      </c>
      <c r="D14" s="27" t="s">
        <v>114</v>
      </c>
      <c r="E14" s="28"/>
      <c r="F14" s="34">
        <f>IF(E14="",IF(C14="","",C14*E14),C14*E14)</f>
        <v>0</v>
      </c>
    </row>
    <row r="15" spans="1:6" x14ac:dyDescent="0.25">
      <c r="A15" s="103"/>
      <c r="B15" s="36" t="s">
        <v>137</v>
      </c>
      <c r="C15" s="104">
        <v>293.66000000000003</v>
      </c>
      <c r="D15" s="27" t="s">
        <v>114</v>
      </c>
      <c r="E15" s="28"/>
      <c r="F15" s="34">
        <f>IF(E15="",IF(C15="","",C15*E15),C15*E15)</f>
        <v>0</v>
      </c>
    </row>
    <row r="16" spans="1:6" x14ac:dyDescent="0.25">
      <c r="A16" s="103"/>
      <c r="B16" s="36"/>
      <c r="C16" s="45"/>
      <c r="D16" s="27"/>
      <c r="E16" s="55"/>
      <c r="F16" s="34" t="str">
        <f>IF(E16="",IF(C16="","",C16*E16),C16*E16)</f>
        <v/>
      </c>
    </row>
    <row r="17" spans="1:6" x14ac:dyDescent="0.25">
      <c r="A17" s="145"/>
      <c r="B17" s="146"/>
      <c r="C17" s="146"/>
      <c r="D17" s="146"/>
      <c r="E17" s="146"/>
      <c r="F17" s="147" t="s">
        <v>183</v>
      </c>
    </row>
    <row r="21" spans="1:6" s="40" customFormat="1" ht="11.25" x14ac:dyDescent="0.2">
      <c r="A21" s="42"/>
      <c r="B21" s="43"/>
      <c r="F21" s="41"/>
    </row>
  </sheetData>
  <mergeCells count="3">
    <mergeCell ref="B2:E2"/>
    <mergeCell ref="B8:E8"/>
    <mergeCell ref="B12:E12"/>
  </mergeCells>
  <pageMargins left="0.7" right="0.7" top="0.75" bottom="0.75" header="0.3" footer="0.3"/>
  <pageSetup paperSize="9" scale="85" orientation="portrait" r:id="rId1"/>
  <headerFooter>
    <oddHeader>&amp;L&amp;A</oddHead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21</vt:i4>
      </vt:variant>
    </vt:vector>
  </HeadingPairs>
  <TitlesOfParts>
    <vt:vector size="36" baseType="lpstr">
      <vt:lpstr>GRAND SUMMARY</vt:lpstr>
      <vt:lpstr>GENERAL SUMMARY </vt:lpstr>
      <vt:lpstr>BILL 1 PRELIMINARIES</vt:lpstr>
      <vt:lpstr>BILL 2 WORKS BELOW GROUND</vt:lpstr>
      <vt:lpstr>BILL 3 CONCRETE WORKS</vt:lpstr>
      <vt:lpstr>BILL4 METAL AND CARPENTRY WORKS</vt:lpstr>
      <vt:lpstr>BILL 5 MASONRY AND PLASTERING</vt:lpstr>
      <vt:lpstr>Bill 6 DOORS AND WINDOWS</vt:lpstr>
      <vt:lpstr>Bill 7 PAINTING WORKS</vt:lpstr>
      <vt:lpstr>Bill 8 FLOOR FINISHES</vt:lpstr>
      <vt:lpstr>BILL 09 HYDRAULICS AND DRAINAGE</vt:lpstr>
      <vt:lpstr>BILL 10 ELECTRICAL INSTALLATION</vt:lpstr>
      <vt:lpstr>BILL 11 MECHANICAL SYSTEMS</vt:lpstr>
      <vt:lpstr>BILL 12 Additions</vt:lpstr>
      <vt:lpstr>BILL 13 Omissions</vt:lpstr>
      <vt:lpstr>'BILL 09 HYDRAULICS AND DRAINAGE'!Print_Area</vt:lpstr>
      <vt:lpstr>'BILL 1 PRELIMINARIES'!Print_Area</vt:lpstr>
      <vt:lpstr>'BILL 10 ELECTRICAL INSTALLATION'!Print_Area</vt:lpstr>
      <vt:lpstr>'BILL 11 MECHANICAL SYSTEMS'!Print_Area</vt:lpstr>
      <vt:lpstr>'BILL 12 Additions'!Print_Area</vt:lpstr>
      <vt:lpstr>'BILL 13 Omissions'!Print_Area</vt:lpstr>
      <vt:lpstr>'BILL 2 WORKS BELOW GROUND'!Print_Area</vt:lpstr>
      <vt:lpstr>'BILL 3 CONCRETE WORKS'!Print_Area</vt:lpstr>
      <vt:lpstr>'BILL 5 MASONRY AND PLASTERING'!Print_Area</vt:lpstr>
      <vt:lpstr>'Bill 6 DOORS AND WINDOWS'!Print_Area</vt:lpstr>
      <vt:lpstr>'Bill 7 PAINTING WORKS'!Print_Area</vt:lpstr>
      <vt:lpstr>'Bill 8 FLOOR FINISHES'!Print_Area</vt:lpstr>
      <vt:lpstr>'BILL4 METAL AND CARPENTRY WORKS'!Print_Area</vt:lpstr>
      <vt:lpstr>'BILL 09 HYDRAULICS AND DRAINAGE'!Print_Titles</vt:lpstr>
      <vt:lpstr>'BILL 10 ELECTRICAL INSTALLATION'!Print_Titles</vt:lpstr>
      <vt:lpstr>'BILL 11 MECHANICAL SYSTEMS'!Print_Titles</vt:lpstr>
      <vt:lpstr>'BILL 2 WORKS BELOW GROUND'!Print_Titles</vt:lpstr>
      <vt:lpstr>'BILL 3 CONCRETE WORKS'!Print_Titles</vt:lpstr>
      <vt:lpstr>'BILL4 METAL AND CARPENTRY WORKS'!Print_Titles</vt:lpstr>
      <vt:lpstr>'GENERAL SUMMARY '!Print_Titles</vt:lpstr>
      <vt:lpstr>'GRAND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Shifaza Aminath</dc:creator>
  <cp:lastModifiedBy>Mohamed Zihan Zuhair</cp:lastModifiedBy>
  <cp:lastPrinted>2019-08-04T09:48:49Z</cp:lastPrinted>
  <dcterms:created xsi:type="dcterms:W3CDTF">2013-12-06T11:25:47Z</dcterms:created>
  <dcterms:modified xsi:type="dcterms:W3CDTF">2019-12-31T06:59:09Z</dcterms:modified>
</cp:coreProperties>
</file>