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FFA\Archeng\Projects\projects 2015\15-041 MOE yearly contract\Ongoing\Unknown Location 6 CLASSROOM 2 STOREY BLOCK\BOQ\"/>
    </mc:Choice>
  </mc:AlternateContent>
  <bookViews>
    <workbookView xWindow="120" yWindow="255" windowWidth="15135" windowHeight="7755"/>
  </bookViews>
  <sheets>
    <sheet name="Cover" sheetId="3" r:id="rId1"/>
    <sheet name="Summary" sheetId="2" r:id="rId2"/>
    <sheet name="Boq" sheetId="1" r:id="rId3"/>
  </sheets>
  <definedNames>
    <definedName name="_xlnm.Print_Area" localSheetId="2">Boq!$A$1:$G$992</definedName>
    <definedName name="_xlnm.Print_Area" localSheetId="0">Cover!$A$1:$A$35</definedName>
    <definedName name="_xlnm.Print_Area" localSheetId="1">Summary!$A$1:$C$21</definedName>
    <definedName name="_xlnm.Print_Titles" localSheetId="2">Boq!$3:$3</definedName>
  </definedNames>
  <calcPr calcId="152511"/>
</workbook>
</file>

<file path=xl/calcChain.xml><?xml version="1.0" encoding="utf-8"?>
<calcChain xmlns="http://schemas.openxmlformats.org/spreadsheetml/2006/main">
  <c r="I99" i="1" l="1"/>
  <c r="Q99" i="1"/>
  <c r="J101" i="1"/>
  <c r="I101" i="1"/>
  <c r="I370" i="1" l="1"/>
  <c r="J370" i="1" s="1"/>
  <c r="K334" i="1"/>
  <c r="L334" i="1" s="1"/>
  <c r="I334" i="1"/>
  <c r="J334" i="1" s="1"/>
  <c r="D77" i="1"/>
  <c r="J207" i="1"/>
  <c r="J203" i="1"/>
  <c r="D572" i="1"/>
  <c r="I520" i="1"/>
  <c r="I519" i="1"/>
  <c r="I518" i="1"/>
  <c r="I516" i="1"/>
  <c r="J516" i="1" s="1"/>
  <c r="I504" i="1"/>
  <c r="J504" i="1" s="1"/>
  <c r="I515" i="1"/>
  <c r="I508" i="1"/>
  <c r="I507" i="1"/>
  <c r="I506" i="1"/>
  <c r="I502" i="1"/>
  <c r="G519" i="1"/>
  <c r="G518" i="1"/>
  <c r="M382" i="1"/>
  <c r="N382" i="1" s="1"/>
  <c r="M380" i="1"/>
  <c r="P379" i="1"/>
  <c r="Q379" i="1" s="1"/>
  <c r="K377" i="1"/>
  <c r="L376" i="1"/>
  <c r="M376" i="1" s="1"/>
  <c r="N376" i="1" s="1"/>
  <c r="N345" i="1"/>
  <c r="O345" i="1" s="1"/>
  <c r="I346" i="1"/>
  <c r="J266" i="1"/>
  <c r="I151" i="1"/>
  <c r="I105" i="1"/>
  <c r="I106" i="1"/>
  <c r="I129" i="1"/>
  <c r="I174" i="1"/>
  <c r="L207" i="1"/>
  <c r="L203" i="1"/>
  <c r="M203" i="1"/>
  <c r="N203" i="1" s="1"/>
  <c r="I173" i="1"/>
  <c r="Q144" i="1"/>
  <c r="P144" i="1"/>
  <c r="O144" i="1"/>
  <c r="N144" i="1"/>
  <c r="M144" i="1"/>
  <c r="L144" i="1"/>
  <c r="K144" i="1"/>
  <c r="J144" i="1"/>
  <c r="I144" i="1"/>
  <c r="I146" i="1"/>
  <c r="G144" i="1"/>
  <c r="I175" i="1"/>
  <c r="I152" i="1"/>
  <c r="I150" i="1"/>
  <c r="I111" i="1"/>
  <c r="I119" i="1"/>
  <c r="I121" i="1"/>
  <c r="I134" i="1"/>
  <c r="I130" i="1"/>
  <c r="G130" i="1"/>
  <c r="G129" i="1"/>
  <c r="I128" i="1"/>
  <c r="G128" i="1"/>
  <c r="I107" i="1"/>
  <c r="G107" i="1"/>
  <c r="G106" i="1"/>
  <c r="G105" i="1"/>
  <c r="G101" i="1"/>
  <c r="I100" i="1"/>
  <c r="J100" i="1" s="1"/>
  <c r="G100" i="1"/>
  <c r="P99" i="1"/>
  <c r="O99" i="1"/>
  <c r="N99" i="1"/>
  <c r="M99" i="1"/>
  <c r="L99" i="1"/>
  <c r="K99" i="1"/>
  <c r="J99" i="1"/>
  <c r="G99" i="1"/>
  <c r="G68" i="1"/>
  <c r="L67" i="1"/>
  <c r="M67" i="1" s="1"/>
  <c r="I67" i="1"/>
  <c r="J67" i="1" s="1"/>
  <c r="G67" i="1"/>
  <c r="Q66" i="1"/>
  <c r="P66" i="1"/>
  <c r="O66" i="1"/>
  <c r="N66" i="1"/>
  <c r="M66" i="1"/>
  <c r="L66" i="1"/>
  <c r="K66" i="1"/>
  <c r="J66" i="1"/>
  <c r="I66" i="1"/>
  <c r="G66" i="1"/>
  <c r="G65" i="1"/>
  <c r="I95" i="1"/>
  <c r="R144" i="1" l="1"/>
  <c r="R66" i="1"/>
  <c r="S66" i="1" s="1"/>
  <c r="M334" i="1"/>
  <c r="N334" i="1" s="1"/>
  <c r="N67" i="1"/>
  <c r="O67" i="1" s="1"/>
  <c r="P67" i="1" s="1"/>
  <c r="R99" i="1"/>
  <c r="K95" i="1"/>
  <c r="L95" i="1" s="1"/>
  <c r="J95" i="1"/>
  <c r="I94" i="1"/>
  <c r="P94" i="1"/>
  <c r="O94" i="1"/>
  <c r="N94" i="1"/>
  <c r="M94" i="1"/>
  <c r="L94" i="1"/>
  <c r="K94" i="1"/>
  <c r="J94" i="1"/>
  <c r="Q94" i="1" l="1"/>
  <c r="R94" i="1" s="1"/>
  <c r="M95" i="1"/>
  <c r="J197" i="1"/>
  <c r="J193" i="1"/>
  <c r="I145" i="1"/>
  <c r="N95" i="1" l="1"/>
  <c r="G992" i="1"/>
  <c r="C18" i="2" s="1"/>
  <c r="G699" i="1"/>
  <c r="G698" i="1"/>
  <c r="G695" i="1"/>
  <c r="G694" i="1"/>
  <c r="G693" i="1"/>
  <c r="G692" i="1"/>
  <c r="D691" i="1"/>
  <c r="G691" i="1" s="1"/>
  <c r="G690" i="1"/>
  <c r="D689" i="1"/>
  <c r="G689" i="1" s="1"/>
  <c r="D688" i="1"/>
  <c r="G688" i="1" s="1"/>
  <c r="D687" i="1"/>
  <c r="G687" i="1" s="1"/>
  <c r="G686" i="1"/>
  <c r="G685" i="1"/>
  <c r="G684" i="1"/>
  <c r="G682" i="1"/>
  <c r="G681" i="1"/>
  <c r="G669" i="1"/>
  <c r="G668" i="1"/>
  <c r="G667" i="1"/>
  <c r="G666" i="1"/>
  <c r="G665" i="1"/>
  <c r="G664" i="1"/>
  <c r="D663" i="1"/>
  <c r="G663" i="1" s="1"/>
  <c r="G662" i="1"/>
  <c r="D661" i="1"/>
  <c r="G661" i="1" s="1"/>
  <c r="D660" i="1"/>
  <c r="G660" i="1" s="1"/>
  <c r="D659" i="1"/>
  <c r="G659" i="1" s="1"/>
  <c r="G658" i="1"/>
  <c r="G657" i="1"/>
  <c r="G656" i="1"/>
  <c r="G655" i="1"/>
  <c r="G654" i="1"/>
  <c r="G653" i="1"/>
  <c r="G652" i="1"/>
  <c r="G650" i="1"/>
  <c r="I545" i="1"/>
  <c r="D577" i="1"/>
  <c r="I577" i="1"/>
  <c r="I549" i="1"/>
  <c r="I544" i="1"/>
  <c r="I469" i="1"/>
  <c r="G469" i="1"/>
  <c r="I468" i="1"/>
  <c r="J468" i="1" s="1"/>
  <c r="G468" i="1"/>
  <c r="K467" i="1"/>
  <c r="I467" i="1"/>
  <c r="J467" i="1" s="1"/>
  <c r="G467" i="1"/>
  <c r="G460" i="1"/>
  <c r="I426" i="1"/>
  <c r="G426" i="1"/>
  <c r="I425" i="1"/>
  <c r="L424" i="1"/>
  <c r="K424" i="1"/>
  <c r="J424" i="1"/>
  <c r="I424" i="1"/>
  <c r="I427" i="1"/>
  <c r="G427" i="1"/>
  <c r="D446" i="1"/>
  <c r="G446" i="1" s="1"/>
  <c r="I452" i="1"/>
  <c r="G452" i="1"/>
  <c r="I451" i="1"/>
  <c r="J451" i="1" s="1"/>
  <c r="G451" i="1"/>
  <c r="K450" i="1"/>
  <c r="I450" i="1"/>
  <c r="J450" i="1" s="1"/>
  <c r="G450" i="1"/>
  <c r="G439" i="1"/>
  <c r="I419" i="1"/>
  <c r="G419" i="1"/>
  <c r="I420" i="1"/>
  <c r="G420" i="1"/>
  <c r="L415" i="1"/>
  <c r="K415" i="1"/>
  <c r="J415" i="1"/>
  <c r="I415" i="1"/>
  <c r="K383" i="1"/>
  <c r="I373" i="1"/>
  <c r="I382" i="1"/>
  <c r="J382" i="1" s="1"/>
  <c r="I376" i="1"/>
  <c r="J376" i="1" s="1"/>
  <c r="P380" i="1"/>
  <c r="I379" i="1"/>
  <c r="J379" i="1" s="1"/>
  <c r="I377" i="1"/>
  <c r="J377" i="1" s="1"/>
  <c r="L377" i="1" s="1"/>
  <c r="P374" i="1"/>
  <c r="P373" i="1"/>
  <c r="Q373" i="1" s="1"/>
  <c r="N373" i="1"/>
  <c r="I383" i="1"/>
  <c r="J383" i="1" s="1"/>
  <c r="I380" i="1"/>
  <c r="N379" i="1"/>
  <c r="I374" i="1"/>
  <c r="D305" i="1"/>
  <c r="I345" i="1"/>
  <c r="J345" i="1" s="1"/>
  <c r="L345" i="1" s="1"/>
  <c r="M345" i="1" s="1"/>
  <c r="K341" i="1"/>
  <c r="I340" i="1"/>
  <c r="J340" i="1" s="1"/>
  <c r="J520" i="1"/>
  <c r="J518" i="1"/>
  <c r="J517" i="1"/>
  <c r="I348" i="1"/>
  <c r="J348" i="1" s="1"/>
  <c r="K349" i="1"/>
  <c r="I349" i="1"/>
  <c r="J349" i="1" s="1"/>
  <c r="G349" i="1"/>
  <c r="I341" i="1"/>
  <c r="J341" i="1" s="1"/>
  <c r="G341" i="1"/>
  <c r="J373" i="1" l="1"/>
  <c r="L373" i="1" s="1"/>
  <c r="M373" i="1" s="1"/>
  <c r="O373" i="1" s="1"/>
  <c r="Q374" i="1" s="1"/>
  <c r="L467" i="1"/>
  <c r="L379" i="1"/>
  <c r="L450" i="1"/>
  <c r="M424" i="1"/>
  <c r="L349" i="1"/>
  <c r="N377" i="1"/>
  <c r="O377" i="1" s="1"/>
  <c r="P345" i="1"/>
  <c r="M415" i="1"/>
  <c r="L518" i="1"/>
  <c r="L341" i="1"/>
  <c r="L383" i="1"/>
  <c r="M379" i="1" l="1"/>
  <c r="O379" i="1" s="1"/>
  <c r="Q380" i="1" s="1"/>
  <c r="N380" i="1" s="1"/>
  <c r="N383" i="1"/>
  <c r="O383" i="1" s="1"/>
  <c r="I338" i="1" l="1"/>
  <c r="N337" i="1"/>
  <c r="O337" i="1" s="1"/>
  <c r="I337" i="1"/>
  <c r="J337" i="1" s="1"/>
  <c r="I303" i="1"/>
  <c r="J303" i="1"/>
  <c r="I299" i="1"/>
  <c r="J299" i="1"/>
  <c r="I297" i="1"/>
  <c r="J297" i="1" s="1"/>
  <c r="I295" i="1"/>
  <c r="K295" i="1"/>
  <c r="L295" i="1" l="1"/>
  <c r="I120" i="1"/>
  <c r="D809" i="1" l="1"/>
  <c r="D807" i="1"/>
  <c r="G807" i="1" s="1"/>
  <c r="D806" i="1"/>
  <c r="G806" i="1" s="1"/>
  <c r="D805" i="1"/>
  <c r="G805" i="1" s="1"/>
  <c r="G809" i="1"/>
  <c r="G808" i="1"/>
  <c r="D773" i="1"/>
  <c r="D771" i="1"/>
  <c r="D770" i="1"/>
  <c r="D769" i="1"/>
  <c r="D766" i="1"/>
  <c r="D802" i="1"/>
  <c r="G785" i="1"/>
  <c r="G750" i="1"/>
  <c r="D767" i="1"/>
  <c r="D803" i="1"/>
  <c r="G789" i="1"/>
  <c r="G753" i="1"/>
  <c r="I618" i="1"/>
  <c r="J618" i="1" s="1"/>
  <c r="I624" i="1"/>
  <c r="I623" i="1"/>
  <c r="D581" i="1"/>
  <c r="D576" i="1"/>
  <c r="D575" i="1"/>
  <c r="D570" i="1"/>
  <c r="I546" i="1"/>
  <c r="D540" i="1"/>
  <c r="I471" i="1"/>
  <c r="J471" i="1"/>
  <c r="G471" i="1"/>
  <c r="J454" i="1"/>
  <c r="I454" i="1"/>
  <c r="K417" i="1"/>
  <c r="J417" i="1"/>
  <c r="I417" i="1"/>
  <c r="D464" i="1"/>
  <c r="D475" i="1" s="1"/>
  <c r="D462" i="1"/>
  <c r="D423" i="1"/>
  <c r="D458" i="1" s="1"/>
  <c r="K454" i="1" l="1"/>
  <c r="D541" i="1"/>
  <c r="L417" i="1"/>
  <c r="K471" i="1"/>
  <c r="M468" i="1"/>
  <c r="N468" i="1" s="1"/>
  <c r="D443" i="1"/>
  <c r="D444" i="1"/>
  <c r="D441" i="1"/>
  <c r="D476" i="1" s="1"/>
  <c r="D438" i="1"/>
  <c r="I416" i="1"/>
  <c r="I414" i="1"/>
  <c r="I418" i="1"/>
  <c r="D388" i="1"/>
  <c r="D386" i="1"/>
  <c r="O388" i="1"/>
  <c r="N388" i="1"/>
  <c r="M388" i="1"/>
  <c r="L388" i="1"/>
  <c r="K388" i="1"/>
  <c r="I503" i="1"/>
  <c r="G520" i="1"/>
  <c r="I521" i="1"/>
  <c r="J521" i="1" s="1"/>
  <c r="G521" i="1"/>
  <c r="J519" i="1"/>
  <c r="G516" i="1"/>
  <c r="J515" i="1"/>
  <c r="G515" i="1"/>
  <c r="J288" i="1"/>
  <c r="J522" i="1" l="1"/>
  <c r="K522" i="1" s="1"/>
  <c r="K515" i="1"/>
  <c r="I572" i="1"/>
  <c r="P388" i="1"/>
  <c r="K288" i="1"/>
  <c r="J284" i="1"/>
  <c r="L280" i="1"/>
  <c r="M280" i="1" s="1"/>
  <c r="I181" i="1"/>
  <c r="K270" i="1"/>
  <c r="J270" i="1"/>
  <c r="M266" i="1"/>
  <c r="L266" i="1"/>
  <c r="I171" i="1"/>
  <c r="K261" i="1" s="1"/>
  <c r="L261" i="1" s="1"/>
  <c r="M261" i="1" l="1"/>
  <c r="N261" i="1" s="1"/>
  <c r="O261" i="1" s="1"/>
  <c r="K253" i="1"/>
  <c r="K248" i="1"/>
  <c r="J244" i="1"/>
  <c r="K244" i="1" s="1"/>
  <c r="L244" i="1" s="1"/>
  <c r="J240" i="1"/>
  <c r="K240" i="1" s="1"/>
  <c r="J226" i="1"/>
  <c r="K226" i="1" s="1"/>
  <c r="L226" i="1" s="1"/>
  <c r="I160" i="1"/>
  <c r="J222" i="1"/>
  <c r="K222" i="1" s="1"/>
  <c r="L222" i="1" s="1"/>
  <c r="I226" i="1"/>
  <c r="I227" i="1" s="1"/>
  <c r="D225" i="1" s="1"/>
  <c r="G225" i="1" s="1"/>
  <c r="G226" i="1"/>
  <c r="I223" i="1"/>
  <c r="G223" i="1"/>
  <c r="I222" i="1"/>
  <c r="G222" i="1"/>
  <c r="J236" i="1"/>
  <c r="L236" i="1" s="1"/>
  <c r="J211" i="1"/>
  <c r="K211" i="1" s="1"/>
  <c r="I224" i="1" l="1"/>
  <c r="D221" i="1" s="1"/>
  <c r="G221" i="1" s="1"/>
  <c r="D227" i="1"/>
  <c r="G227" i="1" s="1"/>
  <c r="K193" i="1"/>
  <c r="K197" i="1"/>
  <c r="J190" i="1"/>
  <c r="D224" i="1" l="1"/>
  <c r="G224" i="1" s="1"/>
  <c r="I158" i="1"/>
  <c r="J158" i="1" s="1"/>
  <c r="I113" i="1"/>
  <c r="J113" i="1" s="1"/>
  <c r="I136" i="1"/>
  <c r="J136" i="1" s="1"/>
  <c r="I115" i="1"/>
  <c r="J115" i="1" s="1"/>
  <c r="J156" i="1"/>
  <c r="I156" i="1"/>
  <c r="G156" i="1"/>
  <c r="G155" i="1"/>
  <c r="I169" i="1"/>
  <c r="J169" i="1" s="1"/>
  <c r="K166" i="1"/>
  <c r="I164" i="1"/>
  <c r="J164" i="1" s="1"/>
  <c r="J181" i="1"/>
  <c r="I180" i="1"/>
  <c r="J180" i="1" s="1"/>
  <c r="I179" i="1"/>
  <c r="J179" i="1" s="1"/>
  <c r="I168" i="1"/>
  <c r="J168" i="1" s="1"/>
  <c r="I167" i="1"/>
  <c r="I166" i="1"/>
  <c r="J166" i="1" s="1"/>
  <c r="I165" i="1"/>
  <c r="J165" i="1" s="1"/>
  <c r="J111" i="1"/>
  <c r="J119" i="1"/>
  <c r="I122" i="1"/>
  <c r="J122" i="1" s="1"/>
  <c r="K121" i="1"/>
  <c r="J120" i="1"/>
  <c r="G160" i="1"/>
  <c r="G158" i="1"/>
  <c r="L166" i="1" l="1"/>
  <c r="K156" i="1"/>
  <c r="K111" i="1"/>
  <c r="K218" i="1"/>
  <c r="L218" i="1" s="1"/>
  <c r="M218" i="1" s="1"/>
  <c r="J121" i="1"/>
  <c r="L121" i="1" s="1"/>
  <c r="J134" i="1"/>
  <c r="I135" i="1"/>
  <c r="J135" i="1" s="1"/>
  <c r="I126" i="1"/>
  <c r="J126" i="1" s="1"/>
  <c r="I124" i="1"/>
  <c r="J124" i="1" s="1"/>
  <c r="I123" i="1"/>
  <c r="J123" i="1" s="1"/>
  <c r="G113" i="1"/>
  <c r="G115" i="1"/>
  <c r="G114" i="1"/>
  <c r="G112" i="1"/>
  <c r="J146" i="1" l="1"/>
  <c r="J145" i="1"/>
  <c r="G303" i="1" l="1"/>
  <c r="G302" i="1"/>
  <c r="G301" i="1"/>
  <c r="G300" i="1"/>
  <c r="K303" i="1" l="1"/>
  <c r="G511" i="1" l="1"/>
  <c r="G510" i="1"/>
  <c r="G524" i="1"/>
  <c r="G523" i="1"/>
  <c r="G857" i="1" l="1"/>
  <c r="G856" i="1"/>
  <c r="G855" i="1"/>
  <c r="G854" i="1"/>
  <c r="G853" i="1"/>
  <c r="G852" i="1"/>
  <c r="G851" i="1"/>
  <c r="G848" i="1"/>
  <c r="G847" i="1"/>
  <c r="G846" i="1"/>
  <c r="G845" i="1"/>
  <c r="G844" i="1"/>
  <c r="G843" i="1"/>
  <c r="G842" i="1"/>
  <c r="G841" i="1"/>
  <c r="G840" i="1"/>
  <c r="G875" i="1" l="1"/>
  <c r="I218" i="1"/>
  <c r="G306" i="1"/>
  <c r="I610" i="1"/>
  <c r="G610" i="1"/>
  <c r="G802" i="1"/>
  <c r="G781" i="1"/>
  <c r="D804" i="1"/>
  <c r="G804" i="1" s="1"/>
  <c r="G803" i="1"/>
  <c r="G801" i="1"/>
  <c r="G799" i="1"/>
  <c r="G798" i="1"/>
  <c r="G797" i="1"/>
  <c r="G796" i="1"/>
  <c r="G795" i="1"/>
  <c r="G794" i="1"/>
  <c r="D793" i="1"/>
  <c r="G793" i="1" s="1"/>
  <c r="G792" i="1"/>
  <c r="G791" i="1"/>
  <c r="G790" i="1"/>
  <c r="G788" i="1"/>
  <c r="G787" i="1"/>
  <c r="G786" i="1"/>
  <c r="G784" i="1"/>
  <c r="G783" i="1"/>
  <c r="G782" i="1"/>
  <c r="G780" i="1"/>
  <c r="G779" i="1"/>
  <c r="D772" i="1"/>
  <c r="G772" i="1" s="1"/>
  <c r="G773" i="1"/>
  <c r="G764" i="1"/>
  <c r="G763" i="1"/>
  <c r="G762" i="1"/>
  <c r="G746" i="1"/>
  <c r="G747" i="1"/>
  <c r="G299" i="1"/>
  <c r="G298" i="1"/>
  <c r="K299" i="1" l="1"/>
  <c r="D621" i="1"/>
  <c r="G621" i="1" s="1"/>
  <c r="G624" i="1"/>
  <c r="G623" i="1"/>
  <c r="G622" i="1"/>
  <c r="D620" i="1"/>
  <c r="G620" i="1" s="1"/>
  <c r="G619" i="1"/>
  <c r="G618" i="1"/>
  <c r="G617" i="1"/>
  <c r="G616" i="1"/>
  <c r="G615" i="1"/>
  <c r="G581" i="1"/>
  <c r="J577" i="1"/>
  <c r="G577" i="1"/>
  <c r="G613" i="1"/>
  <c r="G545" i="1"/>
  <c r="G546" i="1"/>
  <c r="G544" i="1"/>
  <c r="I541" i="1"/>
  <c r="I540" i="1"/>
  <c r="J462" i="1"/>
  <c r="I462" i="1"/>
  <c r="G444" i="1"/>
  <c r="I423" i="1"/>
  <c r="G425" i="1"/>
  <c r="G424" i="1"/>
  <c r="G423" i="1"/>
  <c r="G418" i="1"/>
  <c r="G305" i="1"/>
  <c r="L337" i="1"/>
  <c r="M337" i="1" s="1"/>
  <c r="P337" i="1" s="1"/>
  <c r="G348" i="1"/>
  <c r="G347" i="1"/>
  <c r="G346" i="1"/>
  <c r="G345" i="1"/>
  <c r="G344" i="1"/>
  <c r="G338" i="1"/>
  <c r="G340" i="1"/>
  <c r="J502" i="1"/>
  <c r="G508" i="1"/>
  <c r="G507" i="1"/>
  <c r="J506" i="1"/>
  <c r="G506" i="1"/>
  <c r="G297" i="1"/>
  <c r="G296" i="1"/>
  <c r="L288" i="1"/>
  <c r="I288" i="1"/>
  <c r="I289" i="1"/>
  <c r="G289" i="1"/>
  <c r="G288" i="1"/>
  <c r="K284" i="1"/>
  <c r="L284" i="1" s="1"/>
  <c r="L197" i="1"/>
  <c r="I197" i="1"/>
  <c r="I285" i="1"/>
  <c r="G285" i="1"/>
  <c r="I284" i="1"/>
  <c r="G284" i="1"/>
  <c r="I281" i="1"/>
  <c r="G281" i="1"/>
  <c r="I280" i="1"/>
  <c r="G280" i="1"/>
  <c r="G277" i="1"/>
  <c r="G293" i="1"/>
  <c r="G294" i="1"/>
  <c r="G295" i="1"/>
  <c r="G304" i="1"/>
  <c r="G307" i="1"/>
  <c r="K257" i="1"/>
  <c r="L257" i="1" s="1"/>
  <c r="L253" i="1"/>
  <c r="L248" i="1"/>
  <c r="I248" i="1"/>
  <c r="I249" i="1"/>
  <c r="G249" i="1"/>
  <c r="G248" i="1"/>
  <c r="I244" i="1"/>
  <c r="G244" i="1"/>
  <c r="L240" i="1"/>
  <c r="M236" i="1"/>
  <c r="I258" i="1"/>
  <c r="G258" i="1"/>
  <c r="I257" i="1"/>
  <c r="G257" i="1"/>
  <c r="I250" i="1"/>
  <c r="I245" i="1"/>
  <c r="I241" i="1"/>
  <c r="I240" i="1"/>
  <c r="I237" i="1"/>
  <c r="I236" i="1"/>
  <c r="I253" i="1"/>
  <c r="I259" i="1"/>
  <c r="G259" i="1"/>
  <c r="I254" i="1"/>
  <c r="G254" i="1"/>
  <c r="G253" i="1"/>
  <c r="G250" i="1"/>
  <c r="G245" i="1"/>
  <c r="G241" i="1"/>
  <c r="G240" i="1"/>
  <c r="I275" i="1"/>
  <c r="G275" i="1"/>
  <c r="J274" i="1"/>
  <c r="I274" i="1"/>
  <c r="G274" i="1"/>
  <c r="I271" i="1"/>
  <c r="G271" i="1"/>
  <c r="M270" i="1"/>
  <c r="I270" i="1"/>
  <c r="G270" i="1"/>
  <c r="I267" i="1"/>
  <c r="G267" i="1"/>
  <c r="N266" i="1"/>
  <c r="I266" i="1"/>
  <c r="G266" i="1"/>
  <c r="I272" i="1" l="1"/>
  <c r="D269" i="1" s="1"/>
  <c r="D272" i="1" s="1"/>
  <c r="G272" i="1" s="1"/>
  <c r="K462" i="1"/>
  <c r="J507" i="1"/>
  <c r="J508" i="1"/>
  <c r="I290" i="1"/>
  <c r="D287" i="1" s="1"/>
  <c r="D290" i="1" s="1"/>
  <c r="G290" i="1" s="1"/>
  <c r="I255" i="1"/>
  <c r="D252" i="1" s="1"/>
  <c r="D255" i="1" s="1"/>
  <c r="G255" i="1" s="1"/>
  <c r="I282" i="1"/>
  <c r="D279" i="1" s="1"/>
  <c r="D282" i="1" s="1"/>
  <c r="G282" i="1" s="1"/>
  <c r="I286" i="1"/>
  <c r="D283" i="1" s="1"/>
  <c r="D286" i="1" s="1"/>
  <c r="G286" i="1" s="1"/>
  <c r="I276" i="1"/>
  <c r="D273" i="1" s="1"/>
  <c r="D276" i="1" s="1"/>
  <c r="G276" i="1" s="1"/>
  <c r="I251" i="1"/>
  <c r="D247" i="1" s="1"/>
  <c r="I260" i="1"/>
  <c r="D256" i="1" s="1"/>
  <c r="G256" i="1" s="1"/>
  <c r="I268" i="1"/>
  <c r="D265" i="1" s="1"/>
  <c r="G265" i="1" s="1"/>
  <c r="L270" i="1"/>
  <c r="I262" i="1"/>
  <c r="I263" i="1" s="1"/>
  <c r="D261" i="1" s="1"/>
  <c r="D263" i="1" s="1"/>
  <c r="G262" i="1"/>
  <c r="I238" i="1"/>
  <c r="D235" i="1" s="1"/>
  <c r="D238" i="1" s="1"/>
  <c r="G238" i="1" s="1"/>
  <c r="G237" i="1"/>
  <c r="G236" i="1"/>
  <c r="G233" i="1"/>
  <c r="I207" i="1"/>
  <c r="G207" i="1"/>
  <c r="I203" i="1"/>
  <c r="L193" i="1"/>
  <c r="I190" i="1"/>
  <c r="G190" i="1"/>
  <c r="J167" i="1"/>
  <c r="G181" i="1"/>
  <c r="G180" i="1"/>
  <c r="G179" i="1"/>
  <c r="G175" i="1"/>
  <c r="G174" i="1"/>
  <c r="G173" i="1"/>
  <c r="G171" i="1"/>
  <c r="G170" i="1"/>
  <c r="G169" i="1"/>
  <c r="G168" i="1"/>
  <c r="G167" i="1"/>
  <c r="G166" i="1"/>
  <c r="G165" i="1"/>
  <c r="G164" i="1"/>
  <c r="G154" i="1"/>
  <c r="G153" i="1"/>
  <c r="G152" i="1"/>
  <c r="G151" i="1"/>
  <c r="G150" i="1"/>
  <c r="G146" i="1"/>
  <c r="G145" i="1"/>
  <c r="G126" i="1"/>
  <c r="G125" i="1"/>
  <c r="G136" i="1"/>
  <c r="G135" i="1"/>
  <c r="G134" i="1"/>
  <c r="G124" i="1"/>
  <c r="G123" i="1"/>
  <c r="G122" i="1"/>
  <c r="G121" i="1"/>
  <c r="G120" i="1"/>
  <c r="G119" i="1"/>
  <c r="G111" i="1"/>
  <c r="G110" i="1"/>
  <c r="I73" i="1"/>
  <c r="I60" i="1"/>
  <c r="G269" i="1" l="1"/>
  <c r="K502" i="1"/>
  <c r="G287" i="1"/>
  <c r="D268" i="1"/>
  <c r="G268" i="1" s="1"/>
  <c r="G252" i="1"/>
  <c r="G279" i="1"/>
  <c r="I191" i="1"/>
  <c r="G283" i="1"/>
  <c r="G247" i="1"/>
  <c r="D251" i="1"/>
  <c r="G251" i="1" s="1"/>
  <c r="G273" i="1"/>
  <c r="D260" i="1"/>
  <c r="G260" i="1" s="1"/>
  <c r="I246" i="1"/>
  <c r="D243" i="1" s="1"/>
  <c r="I242" i="1"/>
  <c r="D239" i="1" s="1"/>
  <c r="D242" i="1" s="1"/>
  <c r="G263" i="1"/>
  <c r="G261" i="1"/>
  <c r="G235" i="1"/>
  <c r="D246" i="1" l="1"/>
  <c r="G246" i="1" s="1"/>
  <c r="G243" i="1"/>
  <c r="G239" i="1"/>
  <c r="G242" i="1"/>
  <c r="I211" i="1"/>
  <c r="I198" i="1" l="1"/>
  <c r="I199" i="1" s="1"/>
  <c r="G198" i="1"/>
  <c r="G197" i="1"/>
  <c r="I194" i="1"/>
  <c r="G194" i="1"/>
  <c r="I193" i="1"/>
  <c r="G193" i="1"/>
  <c r="I195" i="1" l="1"/>
  <c r="D196" i="1"/>
  <c r="D199" i="1" s="1"/>
  <c r="G756" i="1" l="1"/>
  <c r="G757" i="1"/>
  <c r="D580" i="1"/>
  <c r="G580" i="1" s="1"/>
  <c r="D579" i="1"/>
  <c r="G579" i="1" s="1"/>
  <c r="G388" i="1"/>
  <c r="G387" i="1"/>
  <c r="G386" i="1"/>
  <c r="G382" i="1"/>
  <c r="G381" i="1"/>
  <c r="G380" i="1"/>
  <c r="G438" i="1"/>
  <c r="D437" i="1"/>
  <c r="G353" i="1"/>
  <c r="G352" i="1"/>
  <c r="G385" i="1"/>
  <c r="L423" i="1" l="1"/>
  <c r="I212" i="1" l="1"/>
  <c r="G212" i="1"/>
  <c r="G211" i="1"/>
  <c r="I208" i="1"/>
  <c r="G208" i="1"/>
  <c r="I204" i="1"/>
  <c r="G204" i="1"/>
  <c r="G203" i="1"/>
  <c r="I205" i="1" l="1"/>
  <c r="I213" i="1"/>
  <c r="I209" i="1"/>
  <c r="D189" i="1"/>
  <c r="D192" i="1"/>
  <c r="D195" i="1" s="1"/>
  <c r="G195" i="1" s="1"/>
  <c r="G199" i="1"/>
  <c r="D74" i="1"/>
  <c r="G196" i="1" l="1"/>
  <c r="G192" i="1"/>
  <c r="G476" i="1" l="1"/>
  <c r="G475" i="1"/>
  <c r="F19" i="2" l="1"/>
  <c r="G778" i="1"/>
  <c r="G609" i="1"/>
  <c r="G417" i="1"/>
  <c r="G416" i="1"/>
  <c r="G415" i="1"/>
  <c r="G414" i="1"/>
  <c r="G443" i="1"/>
  <c r="G441" i="1"/>
  <c r="D768" i="1"/>
  <c r="D758" i="1"/>
  <c r="I475" i="1"/>
  <c r="J475" i="1" s="1"/>
  <c r="K475" i="1" s="1"/>
  <c r="G462" i="1"/>
  <c r="G459" i="1"/>
  <c r="G458" i="1"/>
  <c r="G437" i="1"/>
  <c r="G639" i="1" l="1"/>
  <c r="J479" i="1"/>
  <c r="K479" i="1" s="1"/>
  <c r="L479" i="1" s="1"/>
  <c r="M479" i="1" s="1"/>
  <c r="G464" i="1"/>
  <c r="L509" i="1" l="1"/>
  <c r="J503" i="1"/>
  <c r="M138" i="1"/>
  <c r="L505" i="1" l="1"/>
  <c r="J509" i="1"/>
  <c r="K509" i="1" s="1"/>
  <c r="D206" i="1"/>
  <c r="D202" i="1"/>
  <c r="D210" i="1"/>
  <c r="G210" i="1" l="1"/>
  <c r="D213" i="1"/>
  <c r="G213" i="1" s="1"/>
  <c r="G206" i="1"/>
  <c r="D209" i="1"/>
  <c r="G209" i="1" s="1"/>
  <c r="G202" i="1"/>
  <c r="D205" i="1"/>
  <c r="G205" i="1" s="1"/>
  <c r="I63" i="1" l="1"/>
  <c r="G32" i="1"/>
  <c r="G777" i="1" l="1"/>
  <c r="G771" i="1"/>
  <c r="G759" i="1" l="1"/>
  <c r="G370" i="1" l="1"/>
  <c r="G376" i="1" l="1"/>
  <c r="G375" i="1"/>
  <c r="G373" i="1"/>
  <c r="G372" i="1"/>
  <c r="G379" i="1"/>
  <c r="M454" i="1" l="1"/>
  <c r="G504" i="1" l="1"/>
  <c r="G503" i="1"/>
  <c r="G502" i="1"/>
  <c r="G529" i="1" l="1"/>
  <c r="G752" i="1" l="1"/>
  <c r="G761" i="1"/>
  <c r="G755" i="1"/>
  <c r="G751" i="1"/>
  <c r="G754" i="1"/>
  <c r="G540" i="1" l="1"/>
  <c r="G479" i="1"/>
  <c r="I457" i="1"/>
  <c r="G454" i="1"/>
  <c r="D571" i="1"/>
  <c r="G560" i="1" l="1"/>
  <c r="I215" i="1" l="1"/>
  <c r="G218" i="1"/>
  <c r="D191" i="1"/>
  <c r="G191" i="1" s="1"/>
  <c r="I219" i="1" l="1"/>
  <c r="I216" i="1"/>
  <c r="G765" i="1" l="1"/>
  <c r="G768" i="1"/>
  <c r="G769" i="1"/>
  <c r="G770" i="1"/>
  <c r="G743" i="1"/>
  <c r="G742" i="1"/>
  <c r="G744" i="1"/>
  <c r="G745" i="1"/>
  <c r="G748" i="1"/>
  <c r="G749" i="1"/>
  <c r="G758" i="1"/>
  <c r="G760" i="1"/>
  <c r="G215" i="1"/>
  <c r="D217" i="1"/>
  <c r="G766" i="1" l="1"/>
  <c r="G767" i="1"/>
  <c r="D214" i="1"/>
  <c r="D219" i="1"/>
  <c r="G219" i="1" s="1"/>
  <c r="G217" i="1"/>
  <c r="G828" i="1" l="1"/>
  <c r="C15" i="2" s="1"/>
  <c r="D216" i="1"/>
  <c r="G216" i="1" s="1"/>
  <c r="G214" i="1"/>
  <c r="G23" i="1" l="1"/>
  <c r="G730" i="1" l="1"/>
  <c r="C13" i="2"/>
  <c r="G572" i="1" l="1"/>
  <c r="G422" i="1" l="1"/>
  <c r="G413" i="1"/>
  <c r="G490" i="1" l="1"/>
  <c r="G339" i="1"/>
  <c r="G336" i="1"/>
  <c r="G200" i="1" l="1"/>
  <c r="G109" i="1"/>
  <c r="G108" i="1"/>
  <c r="G96" i="1"/>
  <c r="G78" i="1"/>
  <c r="G77" i="1"/>
  <c r="G76" i="1"/>
  <c r="G75" i="1"/>
  <c r="G74" i="1"/>
  <c r="G73" i="1"/>
  <c r="G69" i="1"/>
  <c r="G64" i="1"/>
  <c r="G63" i="1"/>
  <c r="G62" i="1"/>
  <c r="G61" i="1"/>
  <c r="G60" i="1"/>
  <c r="G59" i="1"/>
  <c r="G24" i="1"/>
  <c r="G25" i="1"/>
  <c r="G26" i="1"/>
  <c r="G27" i="1"/>
  <c r="G576" i="1" l="1"/>
  <c r="G575" i="1"/>
  <c r="G571" i="1"/>
  <c r="G570" i="1"/>
  <c r="G22" i="1"/>
  <c r="G600" i="1" l="1"/>
  <c r="G31" i="1" l="1"/>
  <c r="G30" i="1"/>
  <c r="G28" i="1"/>
  <c r="G52" i="1" l="1"/>
  <c r="C5" i="2" s="1"/>
  <c r="C14" i="2"/>
  <c r="C10" i="2"/>
  <c r="G337" i="1" l="1"/>
  <c r="G334" i="1" l="1"/>
  <c r="G405" i="1" s="1"/>
  <c r="C11" i="2" l="1"/>
  <c r="G741" i="1" l="1"/>
  <c r="G934" i="1" s="1"/>
  <c r="G88" i="1" l="1"/>
  <c r="C6" i="2" l="1"/>
  <c r="G189" i="1" l="1"/>
  <c r="C12" i="2" l="1"/>
  <c r="G323" i="1" l="1"/>
  <c r="C9" i="2"/>
  <c r="C8" i="2" l="1"/>
  <c r="C7" i="2" l="1"/>
  <c r="C21" i="2" s="1"/>
  <c r="C22" i="2" l="1"/>
  <c r="C23" i="2" s="1"/>
  <c r="F17" i="2"/>
  <c r="F21" i="2" l="1"/>
  <c r="F20" i="2"/>
</calcChain>
</file>

<file path=xl/sharedStrings.xml><?xml version="1.0" encoding="utf-8"?>
<sst xmlns="http://schemas.openxmlformats.org/spreadsheetml/2006/main" count="1320" uniqueCount="519">
  <si>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</si>
  <si>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</si>
  <si>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</si>
  <si>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</si>
  <si>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</si>
  <si>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</si>
  <si>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</si>
  <si>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</si>
  <si>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</si>
  <si>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</si>
  <si>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</si>
  <si>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</si>
  <si>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</si>
  <si>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</si>
  <si>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</si>
  <si>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</si>
  <si>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</si>
  <si>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</si>
  <si>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</si>
  <si>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</si>
  <si>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</si>
  <si>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</si>
  <si>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</si>
  <si>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</si>
  <si>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</si>
  <si>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</si>
  <si>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</si>
  <si>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</si>
  <si>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</si>
  <si>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</si>
  <si>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</si>
  <si>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</si>
  <si>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</si>
  <si>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</si>
  <si>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</si>
  <si>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</si>
  <si>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</si>
  <si>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</si>
  <si>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</si>
  <si>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</si>
  <si>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</si>
  <si>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</si>
  <si>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</si>
  <si>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</si>
  <si>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</si>
  <si>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</si>
  <si>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</si>
  <si>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</si>
  <si>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</si>
  <si>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</si>
  <si>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</si>
  <si>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</si>
  <si>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</si>
  <si>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</si>
  <si>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</si>
  <si>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</si>
  <si>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</si>
  <si>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</si>
  <si>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</si>
  <si>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</si>
  <si>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</si>
  <si>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</si>
  <si>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</si>
  <si>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</si>
  <si>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</si>
  <si>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</si>
  <si>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</si>
  <si>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</si>
  <si>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</si>
  <si>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</si>
  <si>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</si>
  <si>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</si>
  <si>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</si>
  <si>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</si>
  <si>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</si>
  <si>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</si>
  <si>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</si>
  <si>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</si>
  <si>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</si>
  <si>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</si>
  <si>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</si>
  <si>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</si>
  <si>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</si>
  <si>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</si>
  <si>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</si>
  <si>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</si>
  <si>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</si>
  <si>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</si>
  <si>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</si>
  <si>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</si>
  <si>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</si>
  <si>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</si>
  <si>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</si>
  <si>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</si>
  <si>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</si>
  <si>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</si>
  <si>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</si>
  <si>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</si>
  <si>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</si>
  <si>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</si>
  <si>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</si>
  <si>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</si>
  <si>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</si>
  <si>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</si>
  <si>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</si>
  <si>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</si>
  <si>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</si>
  <si>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</si>
  <si>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</si>
  <si>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</si>
  <si>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</si>
  <si>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</si>
  <si>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</si>
  <si>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</si>
  <si>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</si>
  <si>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</si>
  <si>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</si>
  <si>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</si>
  <si>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</si>
  <si>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</si>
  <si>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</si>
  <si>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Painting exterior surfaces of External Wall, Columns &amp; beams.</t>
  </si>
  <si>
    <t xml:space="preserve">Painting interior surfaces Wall, Columns &amp; beams) </t>
  </si>
  <si>
    <t>Painting Soffit of slab (Ceiling)</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</si>
  <si>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</si>
  <si>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</si>
  <si>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</si>
  <si>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</si>
  <si>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</si>
  <si>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</si>
  <si>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</si>
  <si>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</si>
  <si>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</si>
  <si>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</si>
  <si>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</si>
  <si>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</si>
  <si>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</si>
  <si>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</si>
  <si>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</si>
  <si>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</si>
  <si>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</si>
  <si>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</si>
  <si>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</si>
  <si>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</si>
  <si>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</si>
  <si>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</si>
  <si>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</si>
  <si>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</si>
  <si>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</si>
  <si>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</si>
  <si>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</si>
  <si>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</si>
  <si>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</si>
  <si>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</si>
  <si>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</si>
  <si>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</si>
  <si>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</si>
  <si>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</si>
  <si>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</si>
  <si>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</si>
  <si>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</si>
  <si>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</si>
  <si>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</si>
  <si>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</si>
  <si>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</si>
  <si>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</si>
  <si>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</si>
  <si>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</si>
  <si>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</si>
  <si>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</si>
  <si>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</si>
  <si>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</si>
  <si>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</si>
  <si>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</si>
  <si>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</si>
  <si>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</si>
  <si>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</si>
  <si>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</si>
  <si>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</si>
  <si>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</si>
  <si>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</si>
  <si>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5.4</t>
  </si>
  <si>
    <t>5.5</t>
  </si>
  <si>
    <t>6.1</t>
  </si>
  <si>
    <t>7.2</t>
  </si>
  <si>
    <t>9.2</t>
  </si>
  <si>
    <t>COLUMNS</t>
  </si>
  <si>
    <t>TOTAL OF BILL No: 03 - Carried over to summary</t>
  </si>
  <si>
    <t>1.5</t>
  </si>
  <si>
    <t xml:space="preserve">                                                                                                                                                                                                                </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</si>
  <si>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</si>
  <si>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3 )</t>
  </si>
  <si>
    <t>4 )</t>
  </si>
  <si>
    <t>5 )</t>
  </si>
  <si>
    <t>6 )</t>
  </si>
  <si>
    <t>7 )</t>
  </si>
  <si>
    <t>8 )</t>
  </si>
  <si>
    <t>9 )</t>
  </si>
  <si>
    <t>(d) Each Light/ light fixture and its switch is measured as one one point; similarly each fan or each socket outlet is 
measured as one point;</t>
  </si>
  <si>
    <t>BILL No: 11 - ELECTRICAL INSTALLATIONS</t>
  </si>
  <si>
    <t>10 )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</si>
  <si>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</si>
  <si>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</si>
  <si>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</si>
  <si>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</si>
  <si>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</si>
  <si>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</si>
  <si>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</si>
  <si>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</si>
  <si>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</si>
  <si>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</si>
  <si>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</si>
  <si>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</si>
  <si>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</si>
  <si>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</si>
  <si>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</si>
  <si>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</si>
  <si>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</si>
  <si>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</si>
  <si>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</si>
  <si>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</si>
  <si>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</si>
  <si>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</si>
  <si>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</si>
  <si>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Toilets</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</si>
  <si>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</si>
  <si>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</si>
  <si>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</si>
  <si>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Wash basin with trap including counter slab</t>
  </si>
  <si>
    <t>Water taps</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</si>
  <si>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</si>
  <si>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</si>
  <si>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</si>
  <si>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</si>
  <si>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</si>
  <si>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</si>
  <si>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</si>
  <si>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</si>
  <si>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</si>
  <si>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</si>
  <si>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</si>
  <si>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</si>
  <si>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</si>
  <si>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</si>
  <si>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</si>
  <si>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</si>
  <si>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</si>
  <si>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</si>
  <si>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</si>
  <si>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</si>
  <si>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</si>
  <si>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</si>
  <si>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</si>
  <si>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</si>
  <si>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</si>
  <si>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</si>
  <si>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</si>
  <si>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</si>
  <si>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</si>
  <si>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</si>
  <si>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</si>
  <si>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(c) Rates shall include for 9mm thick Cement board fixed on 35 x 50mm Timber frame,trimming, nails, screws,hooks, hangers,  clips and similar.</t>
  </si>
  <si>
    <t xml:space="preserve">Supply and Installation of  STELCO approved brand Distribution board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</si>
  <si>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</si>
  <si>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</si>
  <si>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</si>
  <si>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</si>
  <si>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Charges for supplying special tiles grout Conmix C800 / Conmix C500 for fixing tiles to all floors.</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</si>
  <si>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</si>
  <si>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</si>
  <si>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</si>
  <si>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</si>
  <si>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</si>
  <si>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</si>
  <si>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</si>
  <si>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</si>
  <si>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</si>
  <si>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</si>
  <si>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</si>
  <si>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</si>
  <si>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</si>
  <si>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</si>
  <si>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</si>
  <si>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</si>
  <si>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</si>
  <si>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</si>
  <si>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</si>
  <si>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S.S. Railing  - Staircase</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</si>
  <si>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</si>
  <si>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</si>
  <si>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</si>
  <si>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</si>
  <si>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</si>
  <si>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</si>
  <si>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</si>
  <si>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</si>
  <si>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</si>
  <si>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</si>
  <si>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</si>
  <si>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</si>
  <si>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</si>
  <si>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</si>
  <si>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</si>
  <si>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</si>
  <si>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</si>
  <si>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</si>
  <si>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</si>
  <si>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</si>
  <si>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</si>
  <si>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</si>
  <si>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</si>
  <si>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</si>
  <si>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</si>
  <si>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</si>
  <si>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Tie Beam TB1, 250 x 450mm</t>
  </si>
  <si>
    <t>Tie Beam TB2, 250 x 450mm</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</si>
  <si>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</si>
  <si>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</si>
  <si>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</si>
  <si>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</si>
  <si>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</si>
  <si>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</si>
  <si>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</si>
  <si>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</si>
  <si>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</si>
  <si>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</si>
  <si>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</si>
  <si>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</si>
  <si>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</si>
  <si>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</si>
  <si>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</si>
  <si>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</si>
  <si>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</si>
  <si>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</si>
  <si>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</si>
  <si>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</si>
  <si>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</si>
  <si>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</si>
  <si>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</si>
  <si>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</si>
  <si>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</si>
  <si>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</si>
  <si>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</si>
  <si>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</si>
  <si>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</si>
  <si>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</si>
  <si>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</si>
  <si>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</si>
  <si>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</si>
  <si>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</si>
  <si>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</si>
  <si>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</si>
  <si>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</si>
  <si>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</si>
  <si>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</si>
  <si>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</si>
  <si>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</si>
  <si>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</si>
  <si>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</si>
  <si>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</si>
  <si>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</si>
  <si>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Toilet walls @ 3M height</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</si>
  <si>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</si>
  <si>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</si>
  <si>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</si>
  <si>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First floor  - Corridor &amp; Toilet / Wash room</t>
  </si>
  <si>
    <t>Roof level - Eave Ceiling</t>
  </si>
  <si>
    <t>S.S. Railing  - BALCONY</t>
  </si>
  <si>
    <t>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</si>
  <si>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</si>
  <si>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</si>
  <si>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</si>
  <si>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</si>
  <si>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</si>
  <si>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</si>
  <si>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</si>
  <si>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</si>
  <si>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</si>
  <si>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</si>
  <si>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</si>
  <si>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</si>
  <si>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</si>
  <si>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</si>
  <si>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</si>
  <si>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</si>
  <si>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</si>
  <si>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</si>
  <si>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</si>
  <si>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</si>
  <si>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</si>
  <si>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</si>
  <si>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</si>
  <si>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</si>
  <si>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</si>
  <si>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</si>
  <si>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</si>
  <si>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</si>
  <si>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</si>
  <si>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</si>
  <si>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</si>
  <si>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</si>
  <si>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</si>
  <si>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</si>
  <si>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</si>
  <si>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</si>
  <si>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</si>
  <si>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</si>
  <si>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</si>
  <si>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</si>
  <si>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</si>
  <si>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 xml:space="preserve"> TOTAL           Mrf</t>
  </si>
  <si>
    <t>6% GST           Mrf</t>
  </si>
  <si>
    <t>GRAND TOTAL          Mrf</t>
  </si>
  <si>
    <t>10mm dia MS Round bars - 6m</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</si>
  <si>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</si>
  <si>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</si>
  <si>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</si>
  <si>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</si>
  <si>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</si>
  <si>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</si>
  <si>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</si>
  <si>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</si>
  <si>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</si>
  <si>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</si>
  <si>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</si>
  <si>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</si>
  <si>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</si>
  <si>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</si>
  <si>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</si>
  <si>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</si>
  <si>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</si>
  <si>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</si>
  <si>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</si>
  <si>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</si>
  <si>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</si>
  <si>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</si>
  <si>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</si>
  <si>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</si>
  <si>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</si>
  <si>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</si>
  <si>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</si>
  <si>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</si>
  <si>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</si>
  <si>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</si>
  <si>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</si>
  <si>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</si>
  <si>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</si>
  <si>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</si>
  <si>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</si>
  <si>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</si>
  <si>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</si>
  <si>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</si>
  <si>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</si>
  <si>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</si>
  <si>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</si>
  <si>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</si>
  <si>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</si>
  <si>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100mm thick R.C. slab including Entrance Steps</t>
  </si>
  <si>
    <t>FLOOR BEAMS (STORE)</t>
  </si>
  <si>
    <t>FLOOR SLAB (STORE)</t>
  </si>
  <si>
    <t>2.5</t>
  </si>
  <si>
    <t>C1 , 200 x 200mm x 29nos:</t>
  </si>
  <si>
    <t>SC, 150 x 150 x 06nos:</t>
  </si>
  <si>
    <t>C2, 300 x 200mm x 04nos</t>
  </si>
  <si>
    <t>SLAB BEAM (STORE)</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</si>
  <si>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15) Rate shall include for Shuttering and Reinforcement work complete.</t>
    </r>
  </si>
  <si>
    <t>Charges for construction of 100mm thick R.c.c.Parapet wall at First floor and Second floor as per details. (Refer drawing no:A 14) Rate shall include for Shuttering and Reinforcement work complete.</t>
  </si>
  <si>
    <t>300 x150 x 100mm  solid block double wall - 200mm thick above all foundation beams.</t>
  </si>
  <si>
    <t>D2 - Solid Timber framed door with Soild Timber door panel, 950 x 2150mm.</t>
  </si>
  <si>
    <t>D3 - Solid Timber framed door with Soild Timber door panel, 780 x 2000mm.</t>
  </si>
  <si>
    <t>W4 - Coated Aluminium framed Window with Fixed aluminium louvered panels, 700 x 550mm</t>
  </si>
  <si>
    <r>
      <t xml:space="preserve">D1 - Solid Timber framed door with Soild Timber door panel, 950 x 2830mm. </t>
    </r>
    <r>
      <rPr>
        <b/>
        <sz val="9"/>
        <rFont val="Times New Roman"/>
        <family val="1"/>
      </rPr>
      <t>All glazed fix panels shall be double glazed panels.</t>
    </r>
  </si>
  <si>
    <t>TYPE 01 - Coated Aluminium frame with Louvered aluminium panels, 3000 x 650mm (Refer Elevation)</t>
  </si>
  <si>
    <t>TYPE 02 - Coated Aluminium frame with Louvered aluminium panels, 1800 x 650mm (Refer Elevation)</t>
  </si>
  <si>
    <t>Ground floor - Toilet / Wash room</t>
  </si>
  <si>
    <t>Ground floor - Class room</t>
  </si>
  <si>
    <t>Roof Truss - Supply, Fabrication and Fixing Roof Trusses complete with  Base plates, Bolts, nuts, Washers etc including  Paint Finishes. Refer drawing detail    S 10.</t>
  </si>
  <si>
    <t>2 x 13A Power Socket - P02 &amp; P06</t>
  </si>
  <si>
    <t>1 x 13A Power Socket (WP) - P17</t>
  </si>
  <si>
    <t>Mechanical Ventilator</t>
  </si>
  <si>
    <t>Exhaust Fan (Mechanical Ventilator)</t>
  </si>
  <si>
    <t>Cabling - Multi media Projectors VGA 01 to VGA 02</t>
  </si>
  <si>
    <t>Cabling - Data Network points (Cat 06)</t>
  </si>
  <si>
    <t>Cabling - Telephone  points</t>
  </si>
  <si>
    <t>Cabling - TV points</t>
  </si>
  <si>
    <t>Cabling - Speaker System</t>
  </si>
  <si>
    <t xml:space="preserve">S.S.Floor drain with trap </t>
  </si>
  <si>
    <t>Supply, Fabrication and Installation of  S.S.Railing - Staircase as per details (Refer drawing - A12)</t>
  </si>
  <si>
    <t>Provision to remove the excess quantity given in the bill quantities if any as per the drawing details</t>
  </si>
  <si>
    <t>col</t>
  </si>
  <si>
    <t>External surface of exeterior wall incl. Parapet wall</t>
  </si>
  <si>
    <t>Corridor &amp; Wash</t>
  </si>
  <si>
    <t>Cleaner Closet</t>
  </si>
  <si>
    <t xml:space="preserve">Toilet </t>
  </si>
  <si>
    <t>Wash room walls @ 1.8m H</t>
  </si>
  <si>
    <t>Vanity Counter</t>
  </si>
  <si>
    <t>Toilet walls @ 3.0m H</t>
  </si>
  <si>
    <t xml:space="preserve">Toilets </t>
  </si>
  <si>
    <t>First floor - Class room</t>
  </si>
  <si>
    <t>Angle valves</t>
  </si>
  <si>
    <t>CLIENT</t>
  </si>
  <si>
    <t>MINISTRY OF EDUCATION</t>
  </si>
  <si>
    <t>REPUBLIC OF MALDIVES</t>
  </si>
  <si>
    <t>Footings F1 to  F9</t>
  </si>
  <si>
    <t>C1 , 200 x 200mm x 29nos: (3875mm H)</t>
  </si>
  <si>
    <t>SC, 150 x 150mm x 06nos: (3425mm H)</t>
  </si>
  <si>
    <t>C1 , 200 x 200mm x 29nos: (3100mm H)</t>
  </si>
  <si>
    <t>SC, 150 x 150mm x 06nos: (2650mm H)</t>
  </si>
  <si>
    <t>C2 , 300 x 200mm x 04nos: (3100mm H)</t>
  </si>
  <si>
    <t>C2 , 300 x 200mm x 04nos: (3875mm H)</t>
  </si>
  <si>
    <r>
      <t xml:space="preserve">D1 - Solid Timber framed door with Soild Timber door panel, 950 x 2600mm. </t>
    </r>
    <r>
      <rPr>
        <b/>
        <sz val="9"/>
        <rFont val="Times New Roman"/>
        <family val="1"/>
      </rPr>
      <t>All glazed fix panels shall be double glazed panels.</t>
    </r>
  </si>
  <si>
    <t>W1 - Coated Aluminium framed Window with Openable glass panels and Fixed aluminium louvered panels &amp; glass panels at top, 2450 x 1290mm</t>
  </si>
  <si>
    <r>
      <t xml:space="preserve">W2 - Coated Aluminium framed Window with Openable glass panels and Fixed </t>
    </r>
    <r>
      <rPr>
        <b/>
        <sz val="9"/>
        <rFont val="Times New Roman"/>
        <family val="1"/>
      </rPr>
      <t xml:space="preserve">double glazed </t>
    </r>
    <r>
      <rPr>
        <sz val="9"/>
        <rFont val="Times New Roman"/>
        <family val="1"/>
      </rPr>
      <t>panels at top , 1575 x 1600mm</t>
    </r>
  </si>
  <si>
    <t>W3 - Coated Aluminium framed Window with Openable Panels and Fixed aluminium louvered panels at top, 1240 x 1290mm</t>
  </si>
  <si>
    <t>F1 to F9</t>
  </si>
  <si>
    <t>(c) All Timber door frames shall be treated timber. Rate shall include for Paint/Varnish finish.</t>
  </si>
  <si>
    <t xml:space="preserve">PROJECT : SIX CLASSROOM TWO STOREY  BLOCK AT </t>
  </si>
  <si>
    <t xml:space="preserve">school building
(SIX CLASS ROOM BLOCK ) 
</t>
  </si>
  <si>
    <t>PROJECT:  SIX CLASS ROOM BLOCK</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</si>
</sst>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_(* #,##0.0_);_(* \(#,##0.0\);_(* &quot;-&quot;??_);_(@_)"/>
    <numFmt numFmtId="166" formatCode="_(* #,##0.000_);_(* \(#,##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sz val="11"/>
      <color theme="1"/>
      <name val="Arial"/>
      <family val="2"/>
    </font>
    <font>
      <b/>
      <sz val="22"/>
      <color theme="5"/>
      <name val="Arial"/>
      <family val="2"/>
    </font>
    <font>
      <b/>
      <sz val="22"/>
      <color rgb="FFFF0000"/>
      <name val="Arial"/>
      <family val="2"/>
    </font>
    <font>
      <b/>
      <u/>
      <sz val="11"/>
      <color theme="1"/>
      <name val="Arial"/>
      <family val="2"/>
    </font>
    <font>
      <b/>
      <sz val="11"/>
      <color theme="1"/>
      <name val="Arial"/>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3">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601">
    <xf numFmtId="0" fontId="0" fillId="0" borderId="0" xfId="0"/>
    <xf numFmtId="49" fontId="3" fillId="2" borderId="3" xfId="0" applyNumberFormat="1" applyFont="1" applyFill="1" applyBorder="1"/>
    <xf numFmtId="0" fontId="3" fillId="2" borderId="3" xfId="0" applyFont="1" applyFill="1" applyBorder="1"/>
    <xf numFmtId="164"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164"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164" fontId="7" fillId="2" borderId="12" xfId="1" applyFont="1" applyFill="1" applyBorder="1" applyAlignment="1">
      <alignment horizontal="center"/>
    </xf>
    <xf numFmtId="49" fontId="8" fillId="2" borderId="10" xfId="0" applyNumberFormat="1" applyFont="1" applyFill="1" applyBorder="1"/>
    <xf numFmtId="0" fontId="8" fillId="2" borderId="11" xfId="0" applyFont="1" applyFill="1" applyBorder="1"/>
    <xf numFmtId="0" fontId="9" fillId="2" borderId="12" xfId="0"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49" fontId="3" fillId="2" borderId="4" xfId="0" applyNumberFormat="1" applyFont="1" applyFill="1" applyBorder="1"/>
    <xf numFmtId="0" fontId="9" fillId="2" borderId="5" xfId="0" applyFont="1" applyFill="1" applyBorder="1" applyAlignment="1">
      <alignment horizontal="center"/>
    </xf>
    <xf numFmtId="164" fontId="9" fillId="2" borderId="6" xfId="0" applyNumberFormat="1" applyFont="1" applyFill="1" applyBorder="1" applyAlignment="1">
      <alignment horizontal="center"/>
    </xf>
    <xf numFmtId="0" fontId="11" fillId="0" borderId="0" xfId="0" applyFont="1"/>
    <xf numFmtId="0" fontId="11" fillId="0" borderId="0" xfId="0" applyFont="1" applyAlignment="1">
      <alignment horizontal="center"/>
    </xf>
    <xf numFmtId="164" fontId="11" fillId="0" borderId="0" xfId="1" applyNumberFormat="1" applyFont="1"/>
    <xf numFmtId="164" fontId="11" fillId="0" borderId="0" xfId="1" applyFont="1"/>
    <xf numFmtId="0" fontId="11" fillId="0" borderId="0" xfId="0" applyFont="1" applyAlignment="1">
      <alignment horizontal="center" vertical="center"/>
    </xf>
    <xf numFmtId="164" fontId="12" fillId="3" borderId="1" xfId="1" applyNumberFormat="1" applyFont="1" applyFill="1" applyBorder="1" applyAlignment="1">
      <alignment horizontal="center"/>
    </xf>
    <xf numFmtId="164" fontId="11" fillId="0" borderId="0" xfId="0" applyNumberFormat="1" applyFont="1" applyAlignment="1">
      <alignment horizontal="center" vertical="center"/>
    </xf>
    <xf numFmtId="0" fontId="11" fillId="0" borderId="1" xfId="0" applyFont="1" applyBorder="1" applyAlignment="1">
      <alignment horizontal="center"/>
    </xf>
    <xf numFmtId="164" fontId="11" fillId="0" borderId="1" xfId="1" applyNumberFormat="1" applyFont="1" applyBorder="1"/>
    <xf numFmtId="164" fontId="11" fillId="0" borderId="1" xfId="1" applyFont="1" applyBorder="1"/>
    <xf numFmtId="164" fontId="11" fillId="0" borderId="2" xfId="1" applyFont="1" applyBorder="1"/>
    <xf numFmtId="164"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8" fillId="6" borderId="1" xfId="0" applyFont="1" applyFill="1" applyBorder="1"/>
    <xf numFmtId="164" fontId="17" fillId="6" borderId="1" xfId="1" applyNumberFormat="1" applyFont="1" applyFill="1" applyBorder="1"/>
    <xf numFmtId="164" fontId="17" fillId="0" borderId="1" xfId="1" applyNumberFormat="1" applyFont="1" applyBorder="1"/>
    <xf numFmtId="0" fontId="17" fillId="0" borderId="0" xfId="0" applyFont="1" applyAlignment="1">
      <alignment horizontal="center" vertical="center"/>
    </xf>
    <xf numFmtId="0" fontId="21"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164" fontId="11" fillId="0" borderId="0" xfId="1" applyFont="1" applyBorder="1"/>
    <xf numFmtId="0" fontId="12" fillId="2" borderId="1" xfId="2" applyNumberFormat="1" applyFont="1" applyFill="1" applyBorder="1" applyAlignment="1">
      <alignment horizontal="left" wrapText="1"/>
    </xf>
    <xf numFmtId="43" fontId="11" fillId="0" borderId="0" xfId="0" applyNumberFormat="1" applyFont="1"/>
    <xf numFmtId="0" fontId="11" fillId="0" borderId="0" xfId="0" applyFont="1" applyAlignment="1"/>
    <xf numFmtId="43" fontId="0" fillId="0" borderId="0" xfId="0" applyNumberFormat="1"/>
    <xf numFmtId="0" fontId="0" fillId="0" borderId="2" xfId="0" applyBorder="1" applyAlignment="1"/>
    <xf numFmtId="0" fontId="12" fillId="2" borderId="1" xfId="2" applyNumberFormat="1" applyFont="1" applyFill="1" applyBorder="1" applyAlignment="1">
      <alignment horizontal="left" wrapText="1"/>
    </xf>
    <xf numFmtId="0" fontId="11" fillId="0" borderId="0" xfId="0" applyFont="1" applyAlignment="1">
      <alignment horizontal="center" vertical="top"/>
    </xf>
    <xf numFmtId="43" fontId="11" fillId="0" borderId="0" xfId="0" applyNumberFormat="1" applyFont="1" applyAlignment="1">
      <alignment horizontal="center" vertical="center"/>
    </xf>
    <xf numFmtId="164"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164" fontId="12" fillId="3" borderId="0" xfId="1" applyNumberFormat="1" applyFont="1" applyFill="1" applyBorder="1" applyAlignment="1">
      <alignment horizontal="center"/>
    </xf>
    <xf numFmtId="43" fontId="11" fillId="0" borderId="0" xfId="0" applyNumberFormat="1" applyFont="1" applyAlignment="1"/>
    <xf numFmtId="164" fontId="11" fillId="0" borderId="0" xfId="1" applyNumberFormat="1" applyFont="1" applyBorder="1"/>
    <xf numFmtId="43" fontId="11" fillId="0" borderId="0" xfId="0" applyNumberFormat="1" applyFont="1" applyAlignment="1">
      <alignment horizontal="center"/>
    </xf>
    <xf numFmtId="49" fontId="12" fillId="2" borderId="19" xfId="2" applyNumberFormat="1" applyFont="1" applyFill="1" applyBorder="1" applyAlignment="1">
      <alignment horizontal="center" vertical="justify"/>
    </xf>
    <xf numFmtId="0" fontId="13" fillId="2" borderId="0" xfId="2" applyNumberFormat="1" applyFont="1" applyFill="1" applyBorder="1" applyAlignment="1">
      <alignment horizontal="center"/>
    </xf>
    <xf numFmtId="164" fontId="14" fillId="2" borderId="0" xfId="2" applyFont="1" applyFill="1" applyBorder="1" applyAlignment="1">
      <alignment horizontal="center"/>
    </xf>
    <xf numFmtId="164" fontId="14" fillId="3" borderId="0" xfId="1" applyNumberFormat="1" applyFont="1" applyFill="1" applyBorder="1" applyAlignment="1">
      <alignment horizontal="center"/>
    </xf>
    <xf numFmtId="165" fontId="12" fillId="2" borderId="0" xfId="1" applyNumberFormat="1" applyFont="1" applyFill="1" applyBorder="1" applyAlignment="1">
      <alignment horizontal="center"/>
    </xf>
    <xf numFmtId="164" fontId="11" fillId="0" borderId="0" xfId="1" applyFont="1" applyBorder="1" applyAlignment="1">
      <alignment horizontal="center" vertical="center" wrapText="1"/>
    </xf>
    <xf numFmtId="164" fontId="11" fillId="0" borderId="20" xfId="1" applyFont="1" applyBorder="1" applyAlignment="1">
      <alignment horizontal="center" vertical="center" wrapText="1"/>
    </xf>
    <xf numFmtId="0" fontId="13" fillId="2" borderId="0" xfId="2" applyNumberFormat="1" applyFont="1" applyFill="1" applyBorder="1" applyAlignment="1">
      <alignment horizontal="left"/>
    </xf>
    <xf numFmtId="0" fontId="13" fillId="2" borderId="0" xfId="2" applyNumberFormat="1" applyFont="1" applyFill="1" applyBorder="1"/>
    <xf numFmtId="164" fontId="12" fillId="2" borderId="0" xfId="2" applyFont="1" applyFill="1" applyBorder="1" applyAlignment="1">
      <alignment horizontal="center"/>
    </xf>
    <xf numFmtId="164" fontId="11" fillId="0" borderId="20" xfId="1" applyFont="1" applyBorder="1"/>
    <xf numFmtId="0" fontId="12" fillId="2" borderId="0" xfId="2" applyNumberFormat="1" applyFont="1" applyFill="1" applyBorder="1" applyAlignment="1">
      <alignment wrapText="1"/>
    </xf>
    <xf numFmtId="49" fontId="12" fillId="2" borderId="19" xfId="2" applyNumberFormat="1" applyFont="1" applyFill="1" applyBorder="1" applyAlignment="1">
      <alignment horizontal="center" vertical="top"/>
    </xf>
    <xf numFmtId="0" fontId="12" fillId="2" borderId="0" xfId="2" applyNumberFormat="1" applyFont="1" applyFill="1" applyBorder="1" applyAlignment="1">
      <alignment vertical="top" wrapText="1"/>
    </xf>
    <xf numFmtId="0" fontId="14" fillId="2" borderId="0" xfId="2" quotePrefix="1" applyNumberFormat="1" applyFont="1" applyFill="1" applyBorder="1" applyAlignment="1">
      <alignment horizontal="left"/>
    </xf>
    <xf numFmtId="0" fontId="13" fillId="2" borderId="0" xfId="2" applyNumberFormat="1" applyFont="1" applyFill="1" applyBorder="1" applyAlignment="1">
      <alignment horizontal="justify" vertical="top"/>
    </xf>
    <xf numFmtId="49" fontId="12" fillId="2" borderId="19" xfId="2" applyNumberFormat="1" applyFont="1" applyFill="1" applyBorder="1" applyAlignment="1">
      <alignment horizontal="center"/>
    </xf>
    <xf numFmtId="0" fontId="12" fillId="2" borderId="0" xfId="2" quotePrefix="1" applyNumberFormat="1" applyFont="1" applyFill="1" applyBorder="1" applyAlignment="1">
      <alignment vertical="top" wrapText="1"/>
    </xf>
    <xf numFmtId="0" fontId="12" fillId="2" borderId="0" xfId="2" quotePrefix="1" applyNumberFormat="1" applyFont="1" applyFill="1" applyBorder="1" applyAlignment="1">
      <alignment vertical="top"/>
    </xf>
    <xf numFmtId="0" fontId="12" fillId="2" borderId="0" xfId="2" applyNumberFormat="1" applyFont="1" applyFill="1" applyBorder="1" applyAlignment="1">
      <alignment vertical="top"/>
    </xf>
    <xf numFmtId="0" fontId="13" fillId="2" borderId="0" xfId="2" applyNumberFormat="1" applyFont="1" applyFill="1" applyBorder="1" applyAlignment="1">
      <alignment horizontal="center" vertical="top"/>
    </xf>
    <xf numFmtId="0" fontId="12" fillId="2" borderId="20" xfId="2" quotePrefix="1" applyNumberFormat="1" applyFont="1" applyFill="1" applyBorder="1" applyAlignment="1">
      <alignment vertical="top"/>
    </xf>
    <xf numFmtId="49" fontId="14" fillId="5" borderId="19" xfId="2" applyNumberFormat="1" applyFont="1" applyFill="1" applyBorder="1" applyAlignment="1">
      <alignment horizontal="center" vertical="justify"/>
    </xf>
    <xf numFmtId="164" fontId="12" fillId="5" borderId="0" xfId="1" applyNumberFormat="1" applyFont="1" applyFill="1" applyBorder="1" applyAlignment="1">
      <alignment horizontal="center"/>
    </xf>
    <xf numFmtId="165" fontId="12" fillId="5" borderId="0" xfId="1" applyNumberFormat="1" applyFont="1" applyFill="1" applyBorder="1" applyAlignment="1">
      <alignment horizontal="center"/>
    </xf>
    <xf numFmtId="164" fontId="12" fillId="5" borderId="0" xfId="2" applyFont="1" applyFill="1" applyBorder="1" applyAlignment="1">
      <alignment horizontal="center"/>
    </xf>
    <xf numFmtId="49" fontId="11" fillId="0" borderId="19" xfId="0" applyNumberFormat="1" applyFont="1" applyBorder="1"/>
    <xf numFmtId="0" fontId="11" fillId="0" borderId="0" xfId="0" applyFont="1" applyBorder="1" applyAlignment="1">
      <alignment wrapText="1"/>
    </xf>
    <xf numFmtId="164" fontId="17" fillId="0" borderId="20" xfId="1" applyFont="1" applyBorder="1"/>
    <xf numFmtId="0" fontId="13" fillId="5" borderId="0" xfId="2" applyNumberFormat="1" applyFont="1" applyFill="1" applyBorder="1" applyAlignment="1">
      <alignment horizontal="center" vertical="top"/>
    </xf>
    <xf numFmtId="164" fontId="14" fillId="5" borderId="20" xfId="1" applyNumberFormat="1" applyFont="1" applyFill="1" applyBorder="1"/>
    <xf numFmtId="0" fontId="12" fillId="2" borderId="20" xfId="2" applyNumberFormat="1" applyFont="1" applyFill="1" applyBorder="1" applyAlignment="1">
      <alignment vertical="top" wrapText="1"/>
    </xf>
    <xf numFmtId="0" fontId="12" fillId="2" borderId="20" xfId="2" applyNumberFormat="1" applyFont="1" applyFill="1" applyBorder="1" applyAlignment="1">
      <alignment wrapText="1"/>
    </xf>
    <xf numFmtId="49" fontId="12" fillId="2" borderId="0" xfId="2" applyNumberFormat="1" applyFont="1" applyFill="1" applyBorder="1" applyAlignment="1">
      <alignment horizontal="center"/>
    </xf>
    <xf numFmtId="164" fontId="12" fillId="3" borderId="0" xfId="1" applyFont="1" applyFill="1" applyBorder="1" applyAlignment="1">
      <alignment horizontal="center"/>
    </xf>
    <xf numFmtId="0" fontId="13" fillId="2" borderId="0" xfId="2" quotePrefix="1" applyNumberFormat="1" applyFont="1" applyFill="1" applyBorder="1" applyAlignment="1">
      <alignment horizontal="center"/>
    </xf>
    <xf numFmtId="49" fontId="14" fillId="2" borderId="19" xfId="2" applyNumberFormat="1" applyFont="1" applyFill="1" applyBorder="1" applyAlignment="1">
      <alignment horizontal="center" vertical="justify"/>
    </xf>
    <xf numFmtId="0" fontId="12" fillId="2" borderId="0" xfId="2" applyNumberFormat="1" applyFont="1" applyFill="1" applyBorder="1" applyAlignment="1"/>
    <xf numFmtId="0" fontId="12" fillId="2" borderId="20" xfId="2" applyNumberFormat="1" applyFont="1" applyFill="1" applyBorder="1" applyAlignment="1"/>
    <xf numFmtId="0" fontId="11" fillId="0" borderId="0" xfId="0" applyFont="1" applyBorder="1"/>
    <xf numFmtId="49" fontId="14" fillId="3" borderId="19" xfId="2" applyNumberFormat="1" applyFont="1" applyFill="1" applyBorder="1" applyAlignment="1">
      <alignment horizontal="center" vertical="justify"/>
    </xf>
    <xf numFmtId="0" fontId="13" fillId="3" borderId="0" xfId="2" quotePrefix="1" applyNumberFormat="1" applyFont="1" applyFill="1" applyBorder="1" applyAlignment="1">
      <alignment horizontal="center"/>
    </xf>
    <xf numFmtId="164" fontId="14" fillId="3" borderId="0" xfId="2" applyFont="1" applyFill="1" applyBorder="1" applyAlignment="1">
      <alignment horizontal="center"/>
    </xf>
    <xf numFmtId="165" fontId="12" fillId="3" borderId="0" xfId="1" applyNumberFormat="1" applyFont="1" applyFill="1" applyBorder="1" applyAlignment="1">
      <alignment horizontal="center"/>
    </xf>
    <xf numFmtId="0" fontId="13" fillId="3" borderId="0" xfId="2" applyNumberFormat="1" applyFont="1" applyFill="1" applyBorder="1" applyAlignment="1">
      <alignment horizontal="center"/>
    </xf>
    <xf numFmtId="49" fontId="14" fillId="10" borderId="19" xfId="2" applyNumberFormat="1" applyFont="1" applyFill="1" applyBorder="1" applyAlignment="1">
      <alignment horizontal="center"/>
    </xf>
    <xf numFmtId="0" fontId="13" fillId="10" borderId="0" xfId="2" applyNumberFormat="1" applyFont="1" applyFill="1" applyBorder="1" applyAlignment="1">
      <alignment horizontal="left" wrapText="1"/>
    </xf>
    <xf numFmtId="165" fontId="12" fillId="10" borderId="0" xfId="1" applyNumberFormat="1" applyFont="1" applyFill="1" applyBorder="1" applyAlignment="1">
      <alignment horizontal="center"/>
    </xf>
    <xf numFmtId="164" fontId="11" fillId="10" borderId="0" xfId="1" applyFont="1" applyFill="1" applyBorder="1"/>
    <xf numFmtId="164" fontId="11" fillId="10" borderId="20" xfId="1" applyFont="1" applyFill="1" applyBorder="1"/>
    <xf numFmtId="164" fontId="12" fillId="10" borderId="0" xfId="2" applyFont="1" applyFill="1" applyBorder="1" applyAlignment="1">
      <alignment horizontal="center"/>
    </xf>
    <xf numFmtId="164" fontId="12" fillId="10" borderId="0" xfId="1" applyNumberFormat="1" applyFont="1" applyFill="1" applyBorder="1" applyAlignment="1">
      <alignment horizontal="center"/>
    </xf>
    <xf numFmtId="49" fontId="14" fillId="2" borderId="19" xfId="2" applyNumberFormat="1" applyFont="1" applyFill="1" applyBorder="1" applyAlignment="1">
      <alignment horizontal="center"/>
    </xf>
    <xf numFmtId="164" fontId="11" fillId="5" borderId="0" xfId="1" applyFont="1" applyFill="1" applyBorder="1"/>
    <xf numFmtId="164" fontId="11" fillId="5" borderId="20" xfId="1" applyFont="1" applyFill="1" applyBorder="1"/>
    <xf numFmtId="0" fontId="12" fillId="0" borderId="0" xfId="3" applyFont="1" applyBorder="1" applyAlignment="1">
      <alignment horizontal="left" wrapText="1"/>
    </xf>
    <xf numFmtId="0" fontId="12" fillId="7" borderId="0" xfId="1" applyNumberFormat="1" applyFont="1" applyFill="1" applyBorder="1" applyAlignment="1">
      <alignment vertical="center" wrapText="1"/>
    </xf>
    <xf numFmtId="0" fontId="12" fillId="7" borderId="0" xfId="1" applyNumberFormat="1" applyFont="1" applyFill="1" applyBorder="1" applyAlignment="1">
      <alignment vertical="center"/>
    </xf>
    <xf numFmtId="0" fontId="12" fillId="7" borderId="20" xfId="1" applyNumberFormat="1" applyFont="1" applyFill="1" applyBorder="1" applyAlignment="1">
      <alignment vertical="center"/>
    </xf>
    <xf numFmtId="0" fontId="12" fillId="0" borderId="0" xfId="0" applyFont="1" applyBorder="1" applyAlignment="1">
      <alignment vertical="center" wrapText="1"/>
    </xf>
    <xf numFmtId="0" fontId="12" fillId="0" borderId="20" xfId="0" applyFont="1" applyBorder="1" applyAlignment="1">
      <alignment vertical="center" wrapText="1"/>
    </xf>
    <xf numFmtId="0" fontId="12" fillId="2" borderId="0" xfId="3" applyNumberFormat="1" applyFont="1" applyFill="1" applyBorder="1" applyAlignment="1">
      <alignment wrapText="1"/>
    </xf>
    <xf numFmtId="0" fontId="12" fillId="2" borderId="20" xfId="3" applyNumberFormat="1" applyFont="1" applyFill="1" applyBorder="1" applyAlignment="1">
      <alignment wrapText="1"/>
    </xf>
    <xf numFmtId="0" fontId="13" fillId="5" borderId="0" xfId="2" applyNumberFormat="1" applyFont="1" applyFill="1" applyBorder="1" applyAlignment="1">
      <alignment horizontal="left"/>
    </xf>
    <xf numFmtId="0" fontId="12" fillId="2" borderId="20" xfId="2" applyNumberFormat="1" applyFont="1" applyFill="1" applyBorder="1" applyAlignment="1">
      <alignment vertical="top"/>
    </xf>
    <xf numFmtId="0" fontId="12" fillId="0" borderId="0" xfId="3" applyFont="1" applyBorder="1" applyAlignment="1">
      <alignment horizontal="center"/>
    </xf>
    <xf numFmtId="49" fontId="14" fillId="2" borderId="19" xfId="2" applyNumberFormat="1" applyFont="1" applyFill="1" applyBorder="1" applyAlignment="1">
      <alignment horizontal="left" vertical="justify"/>
    </xf>
    <xf numFmtId="164" fontId="12" fillId="2" borderId="0" xfId="1" applyNumberFormat="1" applyFont="1" applyFill="1" applyBorder="1" applyAlignment="1">
      <alignment horizontal="center"/>
    </xf>
    <xf numFmtId="49" fontId="12" fillId="2" borderId="19" xfId="2" applyNumberFormat="1" applyFont="1" applyFill="1" applyBorder="1" applyAlignment="1">
      <alignment horizontal="left" vertical="justify"/>
    </xf>
    <xf numFmtId="49" fontId="12" fillId="2" borderId="19" xfId="2" applyNumberFormat="1" applyFont="1" applyFill="1" applyBorder="1" applyAlignment="1">
      <alignment horizontal="left"/>
    </xf>
    <xf numFmtId="164" fontId="17" fillId="3" borderId="20" xfId="1" applyFont="1" applyFill="1" applyBorder="1"/>
    <xf numFmtId="165" fontId="12" fillId="2" borderId="19" xfId="1" applyNumberFormat="1" applyFont="1" applyFill="1" applyBorder="1" applyAlignment="1">
      <alignment horizontal="left" vertical="justify"/>
    </xf>
    <xf numFmtId="165" fontId="14" fillId="5" borderId="19" xfId="1" applyNumberFormat="1" applyFont="1" applyFill="1" applyBorder="1" applyAlignment="1">
      <alignment horizontal="left" vertical="justify"/>
    </xf>
    <xf numFmtId="0" fontId="12" fillId="5" borderId="0" xfId="3" applyFont="1" applyFill="1" applyBorder="1" applyAlignment="1">
      <alignment horizontal="center"/>
    </xf>
    <xf numFmtId="164" fontId="12" fillId="5" borderId="0" xfId="1" applyFont="1" applyFill="1" applyBorder="1" applyAlignment="1">
      <alignment horizontal="center"/>
    </xf>
    <xf numFmtId="164" fontId="17" fillId="11" borderId="20" xfId="1" applyFont="1" applyFill="1" applyBorder="1"/>
    <xf numFmtId="165" fontId="12" fillId="2" borderId="21" xfId="1" applyNumberFormat="1" applyFont="1" applyFill="1" applyBorder="1" applyAlignment="1">
      <alignment horizontal="left" vertical="justify"/>
    </xf>
    <xf numFmtId="0" fontId="14" fillId="2" borderId="22" xfId="2" quotePrefix="1" applyNumberFormat="1" applyFont="1" applyFill="1" applyBorder="1" applyAlignment="1">
      <alignment horizontal="left"/>
    </xf>
    <xf numFmtId="0" fontId="11" fillId="0" borderId="22" xfId="0" applyFont="1" applyBorder="1" applyAlignment="1">
      <alignment horizontal="center"/>
    </xf>
    <xf numFmtId="164" fontId="11" fillId="0" borderId="22" xfId="1" applyFont="1" applyBorder="1"/>
    <xf numFmtId="165" fontId="11" fillId="0" borderId="22" xfId="1" applyNumberFormat="1" applyFont="1" applyBorder="1"/>
    <xf numFmtId="164" fontId="17" fillId="0" borderId="23" xfId="1" applyFont="1" applyBorder="1"/>
    <xf numFmtId="49" fontId="11" fillId="0" borderId="24" xfId="0" applyNumberFormat="1" applyFont="1" applyBorder="1" applyAlignment="1">
      <alignment horizontal="center" vertical="center"/>
    </xf>
    <xf numFmtId="0" fontId="11" fillId="0" borderId="25" xfId="0" applyFont="1" applyBorder="1" applyAlignment="1">
      <alignment horizontal="center" vertical="center"/>
    </xf>
    <xf numFmtId="164" fontId="11" fillId="0" borderId="25" xfId="1" applyNumberFormat="1" applyFont="1" applyBorder="1" applyAlignment="1">
      <alignment horizontal="center" vertical="center"/>
    </xf>
    <xf numFmtId="165" fontId="11" fillId="0" borderId="25" xfId="1" applyNumberFormat="1" applyFont="1" applyBorder="1" applyAlignment="1">
      <alignment horizontal="center" vertical="center" wrapText="1"/>
    </xf>
    <xf numFmtId="164" fontId="11" fillId="0" borderId="25" xfId="1" applyFont="1" applyBorder="1" applyAlignment="1">
      <alignment horizontal="center" vertical="center" wrapText="1"/>
    </xf>
    <xf numFmtId="164" fontId="11" fillId="0" borderId="26" xfId="1" applyFont="1" applyBorder="1" applyAlignment="1">
      <alignment horizontal="center" vertical="center" wrapText="1"/>
    </xf>
    <xf numFmtId="49" fontId="12" fillId="2" borderId="27" xfId="2" applyNumberFormat="1" applyFont="1" applyFill="1" applyBorder="1" applyAlignment="1">
      <alignment horizontal="center" vertical="justify"/>
    </xf>
    <xf numFmtId="0" fontId="14" fillId="2" borderId="28" xfId="2" quotePrefix="1" applyNumberFormat="1" applyFont="1" applyFill="1" applyBorder="1" applyAlignment="1">
      <alignment horizontal="left"/>
    </xf>
    <xf numFmtId="0" fontId="12" fillId="3" borderId="28" xfId="3" applyFont="1" applyFill="1" applyBorder="1" applyAlignment="1">
      <alignment horizontal="center"/>
    </xf>
    <xf numFmtId="164" fontId="12" fillId="3" borderId="28" xfId="1" applyNumberFormat="1" applyFont="1" applyFill="1" applyBorder="1" applyAlignment="1">
      <alignment horizontal="center"/>
    </xf>
    <xf numFmtId="165" fontId="12" fillId="2" borderId="28" xfId="1" applyNumberFormat="1" applyFont="1" applyFill="1" applyBorder="1" applyAlignment="1">
      <alignment horizontal="center"/>
    </xf>
    <xf numFmtId="164" fontId="11" fillId="0" borderId="29" xfId="1" applyFont="1" applyBorder="1" applyAlignment="1">
      <alignment horizontal="center" vertical="center" wrapText="1"/>
    </xf>
    <xf numFmtId="49" fontId="12" fillId="2" borderId="21" xfId="2" applyNumberFormat="1" applyFont="1" applyFill="1" applyBorder="1" applyAlignment="1">
      <alignment horizontal="center" vertical="justify"/>
    </xf>
    <xf numFmtId="0" fontId="12" fillId="4" borderId="22" xfId="3" applyFont="1" applyFill="1" applyBorder="1" applyAlignment="1">
      <alignment horizontal="center"/>
    </xf>
    <xf numFmtId="164" fontId="12" fillId="3" borderId="22" xfId="1" applyNumberFormat="1" applyFont="1" applyFill="1" applyBorder="1" applyAlignment="1">
      <alignment horizontal="center"/>
    </xf>
    <xf numFmtId="165" fontId="12" fillId="2" borderId="22" xfId="1" applyNumberFormat="1" applyFont="1" applyFill="1" applyBorder="1" applyAlignment="1">
      <alignment horizontal="center"/>
    </xf>
    <xf numFmtId="164" fontId="17" fillId="0" borderId="23" xfId="1" applyFont="1" applyBorder="1" applyAlignment="1">
      <alignment horizontal="center" vertical="center" wrapText="1"/>
    </xf>
    <xf numFmtId="164" fontId="11" fillId="0" borderId="30" xfId="1" applyFont="1" applyBorder="1" applyAlignment="1">
      <alignment horizontal="center" vertical="center" wrapText="1"/>
    </xf>
    <xf numFmtId="164" fontId="11" fillId="0" borderId="31" xfId="1" applyFont="1" applyBorder="1" applyAlignment="1">
      <alignment horizontal="center" vertical="center" wrapText="1"/>
    </xf>
    <xf numFmtId="164" fontId="12" fillId="2" borderId="28" xfId="2" applyFont="1" applyFill="1" applyBorder="1" applyAlignment="1">
      <alignment horizontal="center"/>
    </xf>
    <xf numFmtId="164" fontId="12" fillId="2" borderId="22" xfId="2" applyFont="1" applyFill="1" applyBorder="1" applyAlignment="1">
      <alignment horizontal="center"/>
    </xf>
    <xf numFmtId="164" fontId="11" fillId="0" borderId="22" xfId="1" applyNumberFormat="1" applyFont="1" applyBorder="1"/>
    <xf numFmtId="164" fontId="11" fillId="0" borderId="23" xfId="1" applyFont="1" applyBorder="1"/>
    <xf numFmtId="49" fontId="17" fillId="6" borderId="33" xfId="0" applyNumberFormat="1" applyFont="1" applyFill="1" applyBorder="1"/>
    <xf numFmtId="0" fontId="18" fillId="6" borderId="34" xfId="0" applyFont="1" applyFill="1" applyBorder="1" applyAlignment="1">
      <alignment wrapText="1"/>
    </xf>
    <xf numFmtId="0" fontId="17" fillId="6" borderId="34" xfId="0" applyFont="1" applyFill="1" applyBorder="1" applyAlignment="1">
      <alignment horizontal="center"/>
    </xf>
    <xf numFmtId="164" fontId="17" fillId="6" borderId="34" xfId="1" applyNumberFormat="1" applyFont="1" applyFill="1" applyBorder="1"/>
    <xf numFmtId="165" fontId="17" fillId="6" borderId="34" xfId="1" applyNumberFormat="1" applyFont="1" applyFill="1" applyBorder="1"/>
    <xf numFmtId="164" fontId="17" fillId="6" borderId="34" xfId="1" applyFont="1" applyFill="1" applyBorder="1"/>
    <xf numFmtId="164" fontId="17" fillId="6" borderId="35" xfId="1" applyFont="1" applyFill="1" applyBorder="1"/>
    <xf numFmtId="49" fontId="12" fillId="2" borderId="33" xfId="2" applyNumberFormat="1" applyFont="1" applyFill="1" applyBorder="1" applyAlignment="1">
      <alignment horizontal="center" vertical="justify"/>
    </xf>
    <xf numFmtId="0" fontId="12" fillId="2" borderId="34" xfId="2" applyNumberFormat="1" applyFont="1" applyFill="1" applyBorder="1" applyAlignment="1">
      <alignment horizontal="left" vertical="top" wrapText="1"/>
    </xf>
    <xf numFmtId="49" fontId="12" fillId="2" borderId="34" xfId="2" applyNumberFormat="1" applyFont="1" applyFill="1" applyBorder="1" applyAlignment="1">
      <alignment horizontal="center"/>
    </xf>
    <xf numFmtId="164" fontId="12" fillId="3" borderId="34" xfId="1" applyNumberFormat="1" applyFont="1" applyFill="1" applyBorder="1" applyAlignment="1">
      <alignment horizontal="center"/>
    </xf>
    <xf numFmtId="165" fontId="12" fillId="2" borderId="34" xfId="1" applyNumberFormat="1" applyFont="1" applyFill="1" applyBorder="1" applyAlignment="1">
      <alignment horizontal="center"/>
    </xf>
    <xf numFmtId="164" fontId="11" fillId="0" borderId="34" xfId="1" applyFont="1" applyBorder="1"/>
    <xf numFmtId="164" fontId="11" fillId="0" borderId="35" xfId="1" applyFont="1" applyBorder="1"/>
    <xf numFmtId="49" fontId="11" fillId="0" borderId="33" xfId="0" applyNumberFormat="1" applyFont="1" applyBorder="1"/>
    <xf numFmtId="0" fontId="11" fillId="0" borderId="34" xfId="0" applyFont="1" applyBorder="1" applyAlignment="1">
      <alignment wrapText="1"/>
    </xf>
    <xf numFmtId="0" fontId="11" fillId="0" borderId="34" xfId="0" applyFont="1" applyBorder="1" applyAlignment="1">
      <alignment horizontal="center"/>
    </xf>
    <xf numFmtId="164" fontId="11" fillId="0" borderId="34" xfId="1" applyNumberFormat="1" applyFont="1" applyBorder="1"/>
    <xf numFmtId="49" fontId="17" fillId="0" borderId="33" xfId="0" applyNumberFormat="1" applyFont="1" applyBorder="1"/>
    <xf numFmtId="0" fontId="18" fillId="0" borderId="34" xfId="0" applyFont="1" applyBorder="1" applyAlignment="1">
      <alignment wrapText="1"/>
    </xf>
    <xf numFmtId="0" fontId="17" fillId="0" borderId="34" xfId="0" applyFont="1" applyBorder="1" applyAlignment="1">
      <alignment horizontal="center"/>
    </xf>
    <xf numFmtId="164" fontId="17" fillId="0" borderId="34" xfId="1" applyNumberFormat="1" applyFont="1" applyBorder="1"/>
    <xf numFmtId="165" fontId="17" fillId="0" borderId="34" xfId="1" applyNumberFormat="1" applyFont="1" applyBorder="1"/>
    <xf numFmtId="164" fontId="17" fillId="0" borderId="34" xfId="1" applyFont="1" applyBorder="1"/>
    <xf numFmtId="164" fontId="17" fillId="0" borderId="35" xfId="1" applyFont="1" applyBorder="1"/>
    <xf numFmtId="49" fontId="11" fillId="0" borderId="36" xfId="0" applyNumberFormat="1" applyFont="1" applyBorder="1"/>
    <xf numFmtId="0" fontId="11" fillId="0" borderId="37" xfId="0" applyFont="1" applyBorder="1" applyAlignment="1">
      <alignment wrapText="1"/>
    </xf>
    <xf numFmtId="49" fontId="12" fillId="2" borderId="37" xfId="2" applyNumberFormat="1" applyFont="1" applyFill="1" applyBorder="1" applyAlignment="1">
      <alignment horizontal="center"/>
    </xf>
    <xf numFmtId="164" fontId="11" fillId="0" borderId="37" xfId="1" applyNumberFormat="1" applyFont="1" applyBorder="1"/>
    <xf numFmtId="165" fontId="12" fillId="2" borderId="37" xfId="1" applyNumberFormat="1" applyFont="1" applyFill="1" applyBorder="1" applyAlignment="1">
      <alignment horizontal="center"/>
    </xf>
    <xf numFmtId="164" fontId="11" fillId="0" borderId="37" xfId="1" applyFont="1" applyBorder="1"/>
    <xf numFmtId="164" fontId="11" fillId="0" borderId="38" xfId="1" applyFont="1" applyBorder="1"/>
    <xf numFmtId="49" fontId="17" fillId="6" borderId="39" xfId="0" applyNumberFormat="1" applyFont="1" applyFill="1" applyBorder="1"/>
    <xf numFmtId="0" fontId="18" fillId="6" borderId="40" xfId="0" applyFont="1" applyFill="1" applyBorder="1" applyAlignment="1">
      <alignment wrapText="1"/>
    </xf>
    <xf numFmtId="0" fontId="17" fillId="6" borderId="40" xfId="0" applyFont="1" applyFill="1" applyBorder="1" applyAlignment="1">
      <alignment horizontal="center"/>
    </xf>
    <xf numFmtId="164" fontId="17" fillId="6" borderId="40" xfId="1" applyNumberFormat="1" applyFont="1" applyFill="1" applyBorder="1"/>
    <xf numFmtId="165" fontId="17" fillId="6" borderId="40" xfId="1" applyNumberFormat="1" applyFont="1" applyFill="1" applyBorder="1"/>
    <xf numFmtId="164" fontId="17" fillId="6" borderId="40" xfId="1" applyFont="1" applyFill="1" applyBorder="1"/>
    <xf numFmtId="164" fontId="17" fillId="6" borderId="41" xfId="1" applyFont="1" applyFill="1" applyBorder="1"/>
    <xf numFmtId="164" fontId="11" fillId="0" borderId="28" xfId="1" applyFont="1" applyBorder="1"/>
    <xf numFmtId="164" fontId="11" fillId="0" borderId="29" xfId="1" applyFont="1" applyBorder="1"/>
    <xf numFmtId="164" fontId="11" fillId="0" borderId="42" xfId="1" applyFont="1" applyBorder="1"/>
    <xf numFmtId="164" fontId="17" fillId="0" borderId="38" xfId="1" applyFont="1" applyBorder="1"/>
    <xf numFmtId="0" fontId="11" fillId="6" borderId="40" xfId="0" applyFont="1" applyFill="1" applyBorder="1" applyAlignment="1">
      <alignment horizontal="center"/>
    </xf>
    <xf numFmtId="164" fontId="11" fillId="6" borderId="40" xfId="1" applyNumberFormat="1" applyFont="1" applyFill="1" applyBorder="1"/>
    <xf numFmtId="165" fontId="11" fillId="6" borderId="40" xfId="1" applyNumberFormat="1" applyFont="1" applyFill="1" applyBorder="1"/>
    <xf numFmtId="164" fontId="11" fillId="6" borderId="40" xfId="1" applyFont="1" applyFill="1" applyBorder="1"/>
    <xf numFmtId="164" fontId="11" fillId="6" borderId="41" xfId="1" applyFont="1" applyFill="1" applyBorder="1"/>
    <xf numFmtId="0" fontId="11" fillId="6" borderId="34" xfId="0" applyFont="1" applyFill="1" applyBorder="1" applyAlignment="1">
      <alignment horizontal="center"/>
    </xf>
    <xf numFmtId="164" fontId="11" fillId="6" borderId="34" xfId="1" applyNumberFormat="1" applyFont="1" applyFill="1" applyBorder="1"/>
    <xf numFmtId="165" fontId="11" fillId="6" borderId="34" xfId="1" applyNumberFormat="1" applyFont="1" applyFill="1" applyBorder="1"/>
    <xf numFmtId="164" fontId="11" fillId="6" borderId="34" xfId="1" applyFont="1" applyFill="1" applyBorder="1"/>
    <xf numFmtId="164" fontId="11" fillId="6" borderId="35" xfId="1" applyFont="1" applyFill="1" applyBorder="1"/>
    <xf numFmtId="0" fontId="10" fillId="0" borderId="34" xfId="0" applyFont="1" applyBorder="1" applyAlignment="1">
      <alignment wrapText="1"/>
    </xf>
    <xf numFmtId="165" fontId="11" fillId="0" borderId="34" xfId="1" applyNumberFormat="1" applyFont="1" applyBorder="1"/>
    <xf numFmtId="49" fontId="17" fillId="3" borderId="33" xfId="0" applyNumberFormat="1" applyFont="1" applyFill="1" applyBorder="1"/>
    <xf numFmtId="0" fontId="18" fillId="3" borderId="34" xfId="0" applyFont="1" applyFill="1" applyBorder="1" applyAlignment="1">
      <alignment wrapText="1"/>
    </xf>
    <xf numFmtId="0" fontId="17" fillId="3" borderId="34" xfId="0" applyFont="1" applyFill="1" applyBorder="1" applyAlignment="1">
      <alignment horizontal="center"/>
    </xf>
    <xf numFmtId="164" fontId="17" fillId="3" borderId="34" xfId="1" applyNumberFormat="1" applyFont="1" applyFill="1" applyBorder="1"/>
    <xf numFmtId="165" fontId="17" fillId="3" borderId="34" xfId="1" applyNumberFormat="1" applyFont="1" applyFill="1" applyBorder="1"/>
    <xf numFmtId="49" fontId="11" fillId="3" borderId="33" xfId="0" applyNumberFormat="1" applyFont="1" applyFill="1" applyBorder="1"/>
    <xf numFmtId="0" fontId="11" fillId="3" borderId="34" xfId="0" applyFont="1" applyFill="1" applyBorder="1" applyAlignment="1">
      <alignment wrapText="1"/>
    </xf>
    <xf numFmtId="0" fontId="11" fillId="3" borderId="34" xfId="0" applyFont="1" applyFill="1" applyBorder="1" applyAlignment="1">
      <alignment horizontal="center"/>
    </xf>
    <xf numFmtId="164" fontId="11" fillId="3" borderId="34" xfId="1" applyNumberFormat="1" applyFont="1" applyFill="1" applyBorder="1"/>
    <xf numFmtId="165" fontId="11" fillId="3" borderId="34" xfId="1" applyNumberFormat="1" applyFont="1" applyFill="1" applyBorder="1"/>
    <xf numFmtId="164" fontId="11" fillId="3" borderId="34" xfId="1" applyFont="1" applyFill="1" applyBorder="1"/>
    <xf numFmtId="164" fontId="11" fillId="3" borderId="35" xfId="1" applyFont="1" applyFill="1" applyBorder="1"/>
    <xf numFmtId="49" fontId="17" fillId="0" borderId="33" xfId="0" applyNumberFormat="1" applyFont="1" applyBorder="1" applyAlignment="1">
      <alignment vertical="top"/>
    </xf>
    <xf numFmtId="49" fontId="11" fillId="0" borderId="33" xfId="0" applyNumberFormat="1" applyFont="1" applyBorder="1" applyAlignment="1">
      <alignment vertical="top"/>
    </xf>
    <xf numFmtId="0" fontId="12" fillId="3" borderId="34" xfId="3" applyFont="1" applyFill="1" applyBorder="1" applyAlignment="1">
      <alignment horizontal="left" wrapText="1"/>
    </xf>
    <xf numFmtId="164" fontId="12" fillId="3" borderId="34" xfId="1" applyFont="1" applyFill="1" applyBorder="1" applyAlignment="1">
      <alignment horizontal="center"/>
    </xf>
    <xf numFmtId="0" fontId="17" fillId="0" borderId="34" xfId="0" applyFont="1" applyBorder="1" applyAlignment="1">
      <alignment wrapText="1"/>
    </xf>
    <xf numFmtId="0" fontId="17" fillId="0" borderId="37" xfId="0" applyFont="1" applyBorder="1" applyAlignment="1">
      <alignment wrapText="1"/>
    </xf>
    <xf numFmtId="0" fontId="17" fillId="0" borderId="37" xfId="0" applyFont="1" applyBorder="1" applyAlignment="1">
      <alignment horizontal="center"/>
    </xf>
    <xf numFmtId="164" fontId="17" fillId="0" borderId="37" xfId="1" applyNumberFormat="1" applyFont="1" applyBorder="1"/>
    <xf numFmtId="165" fontId="11" fillId="0" borderId="37" xfId="1" applyNumberFormat="1" applyFont="1" applyBorder="1"/>
    <xf numFmtId="49" fontId="11" fillId="3" borderId="36" xfId="0" applyNumberFormat="1" applyFont="1" applyFill="1" applyBorder="1"/>
    <xf numFmtId="0" fontId="11" fillId="3" borderId="37" xfId="0" applyFont="1" applyFill="1" applyBorder="1" applyAlignment="1">
      <alignment wrapText="1"/>
    </xf>
    <xf numFmtId="0" fontId="11" fillId="3" borderId="37" xfId="0" applyFont="1" applyFill="1" applyBorder="1" applyAlignment="1">
      <alignment horizontal="center"/>
    </xf>
    <xf numFmtId="164" fontId="11" fillId="3" borderId="37" xfId="1" applyNumberFormat="1" applyFont="1" applyFill="1" applyBorder="1"/>
    <xf numFmtId="165" fontId="11" fillId="3" borderId="37" xfId="1" applyNumberFormat="1" applyFont="1" applyFill="1" applyBorder="1"/>
    <xf numFmtId="164" fontId="11" fillId="3" borderId="37" xfId="1" applyFont="1" applyFill="1" applyBorder="1"/>
    <xf numFmtId="0" fontId="11" fillId="0" borderId="37" xfId="0" applyFont="1" applyBorder="1" applyAlignment="1">
      <alignment horizontal="center"/>
    </xf>
    <xf numFmtId="49" fontId="17" fillId="0" borderId="39" xfId="0" applyNumberFormat="1" applyFont="1" applyBorder="1"/>
    <xf numFmtId="0" fontId="18" fillId="0" borderId="40" xfId="0" applyFont="1" applyBorder="1"/>
    <xf numFmtId="0" fontId="11" fillId="0" borderId="40" xfId="0" applyFont="1" applyBorder="1" applyAlignment="1">
      <alignment horizontal="center"/>
    </xf>
    <xf numFmtId="164" fontId="11" fillId="0" borderId="40" xfId="1" applyNumberFormat="1" applyFont="1" applyBorder="1"/>
    <xf numFmtId="165" fontId="11" fillId="0" borderId="40" xfId="1" applyNumberFormat="1" applyFont="1" applyBorder="1"/>
    <xf numFmtId="164" fontId="11" fillId="0" borderId="40" xfId="1" applyFont="1" applyBorder="1"/>
    <xf numFmtId="164" fontId="11" fillId="0" borderId="41" xfId="1" applyFont="1" applyBorder="1"/>
    <xf numFmtId="0" fontId="18" fillId="6" borderId="34" xfId="0" applyFont="1" applyFill="1" applyBorder="1"/>
    <xf numFmtId="0" fontId="17" fillId="0" borderId="34" xfId="0" applyFont="1" applyBorder="1"/>
    <xf numFmtId="0" fontId="11" fillId="0" borderId="34" xfId="0" applyFont="1" applyBorder="1"/>
    <xf numFmtId="49" fontId="14" fillId="5" borderId="33" xfId="2" applyNumberFormat="1" applyFont="1" applyFill="1" applyBorder="1" applyAlignment="1">
      <alignment horizontal="center" vertical="justify"/>
    </xf>
    <xf numFmtId="0" fontId="13" fillId="5" borderId="34" xfId="2" applyNumberFormat="1" applyFont="1" applyFill="1" applyBorder="1" applyAlignment="1">
      <alignment horizontal="center"/>
    </xf>
    <xf numFmtId="164" fontId="12" fillId="5" borderId="34" xfId="2" applyFont="1" applyFill="1" applyBorder="1" applyAlignment="1">
      <alignment horizontal="center"/>
    </xf>
    <xf numFmtId="164" fontId="12" fillId="5" borderId="34" xfId="1" applyNumberFormat="1" applyFont="1" applyFill="1" applyBorder="1" applyAlignment="1">
      <alignment horizontal="center"/>
    </xf>
    <xf numFmtId="165" fontId="12" fillId="5" borderId="34" xfId="1" applyNumberFormat="1" applyFont="1" applyFill="1" applyBorder="1" applyAlignment="1">
      <alignment horizontal="center"/>
    </xf>
    <xf numFmtId="164" fontId="14" fillId="5" borderId="35" xfId="2" applyFont="1" applyFill="1" applyBorder="1"/>
    <xf numFmtId="0" fontId="12" fillId="2" borderId="34" xfId="2" applyNumberFormat="1" applyFont="1" applyFill="1" applyBorder="1" applyAlignment="1">
      <alignment wrapText="1"/>
    </xf>
    <xf numFmtId="0" fontId="12" fillId="2" borderId="35" xfId="2" applyNumberFormat="1" applyFont="1" applyFill="1" applyBorder="1" applyAlignment="1"/>
    <xf numFmtId="0" fontId="12" fillId="2" borderId="34" xfId="2" applyNumberFormat="1" applyFont="1" applyFill="1" applyBorder="1" applyAlignment="1"/>
    <xf numFmtId="0" fontId="18" fillId="0" borderId="34" xfId="0" applyFont="1" applyBorder="1"/>
    <xf numFmtId="164" fontId="17" fillId="0" borderId="34" xfId="1" applyFont="1" applyBorder="1" applyAlignment="1"/>
    <xf numFmtId="0" fontId="11" fillId="0" borderId="37" xfId="0" applyFont="1" applyBorder="1"/>
    <xf numFmtId="164" fontId="11" fillId="0" borderId="30" xfId="1" applyFont="1" applyBorder="1"/>
    <xf numFmtId="164" fontId="11" fillId="0" borderId="31" xfId="1" applyFont="1" applyBorder="1"/>
    <xf numFmtId="49" fontId="14" fillId="10" borderId="39" xfId="2" applyNumberFormat="1" applyFont="1" applyFill="1" applyBorder="1" applyAlignment="1">
      <alignment horizontal="center"/>
    </xf>
    <xf numFmtId="0" fontId="13" fillId="10" borderId="40" xfId="2" applyNumberFormat="1" applyFont="1" applyFill="1" applyBorder="1" applyAlignment="1">
      <alignment horizontal="left" wrapText="1"/>
    </xf>
    <xf numFmtId="164" fontId="14" fillId="10" borderId="40" xfId="2" applyFont="1" applyFill="1" applyBorder="1" applyAlignment="1">
      <alignment horizontal="center"/>
    </xf>
    <xf numFmtId="164" fontId="14" fillId="10" borderId="40" xfId="1" applyNumberFormat="1" applyFont="1" applyFill="1" applyBorder="1" applyAlignment="1">
      <alignment horizontal="center"/>
    </xf>
    <xf numFmtId="165" fontId="12" fillId="10" borderId="40" xfId="1" applyNumberFormat="1" applyFont="1" applyFill="1" applyBorder="1" applyAlignment="1">
      <alignment horizontal="center"/>
    </xf>
    <xf numFmtId="164" fontId="11" fillId="10" borderId="40" xfId="1" applyFont="1" applyFill="1" applyBorder="1"/>
    <xf numFmtId="164" fontId="11" fillId="10" borderId="41" xfId="1" applyFont="1" applyFill="1" applyBorder="1"/>
    <xf numFmtId="49" fontId="3" fillId="3" borderId="33" xfId="0" applyNumberFormat="1" applyFont="1" applyFill="1" applyBorder="1" applyAlignment="1">
      <alignment horizontal="center" vertical="center"/>
    </xf>
    <xf numFmtId="0" fontId="23" fillId="3" borderId="34" xfId="0" applyFont="1" applyFill="1" applyBorder="1" applyAlignment="1">
      <alignment vertical="center" wrapText="1"/>
    </xf>
    <xf numFmtId="0" fontId="3" fillId="3" borderId="34" xfId="0" applyFont="1" applyFill="1" applyBorder="1" applyAlignment="1">
      <alignment horizontal="center" vertical="center"/>
    </xf>
    <xf numFmtId="164" fontId="3" fillId="3" borderId="34" xfId="0" applyNumberFormat="1" applyFont="1" applyFill="1" applyBorder="1" applyAlignment="1">
      <alignment horizontal="center" vertical="center"/>
    </xf>
    <xf numFmtId="165" fontId="12" fillId="3" borderId="34" xfId="1" applyNumberFormat="1" applyFont="1" applyFill="1" applyBorder="1" applyAlignment="1">
      <alignment horizontal="center"/>
    </xf>
    <xf numFmtId="49" fontId="3" fillId="6" borderId="33" xfId="0" applyNumberFormat="1" applyFont="1" applyFill="1" applyBorder="1" applyAlignment="1">
      <alignment horizontal="center" vertical="center"/>
    </xf>
    <xf numFmtId="0" fontId="23" fillId="6" borderId="34" xfId="0" applyFont="1" applyFill="1" applyBorder="1" applyAlignment="1">
      <alignment vertical="center" wrapText="1"/>
    </xf>
    <xf numFmtId="0" fontId="3" fillId="6" borderId="34" xfId="0" applyFont="1" applyFill="1" applyBorder="1" applyAlignment="1">
      <alignment horizontal="center" vertical="center"/>
    </xf>
    <xf numFmtId="164" fontId="3" fillId="6" borderId="34" xfId="0" applyNumberFormat="1" applyFont="1" applyFill="1" applyBorder="1" applyAlignment="1">
      <alignment horizontal="center" vertical="center"/>
    </xf>
    <xf numFmtId="0" fontId="3" fillId="3" borderId="34" xfId="0" applyFont="1" applyFill="1" applyBorder="1" applyAlignment="1">
      <alignment vertical="center" wrapText="1"/>
    </xf>
    <xf numFmtId="49" fontId="3" fillId="3" borderId="43" xfId="0" applyNumberFormat="1" applyFont="1" applyFill="1" applyBorder="1" applyAlignment="1">
      <alignment horizontal="center" vertical="center"/>
    </xf>
    <xf numFmtId="0" fontId="3" fillId="3" borderId="44" xfId="0" applyFont="1" applyFill="1" applyBorder="1" applyAlignment="1">
      <alignment vertical="center" wrapText="1"/>
    </xf>
    <xf numFmtId="0" fontId="3" fillId="3" borderId="44" xfId="0" applyFont="1" applyFill="1" applyBorder="1" applyAlignment="1">
      <alignment horizontal="center" vertical="center"/>
    </xf>
    <xf numFmtId="164" fontId="3" fillId="3" borderId="44" xfId="0" applyNumberFormat="1" applyFont="1" applyFill="1" applyBorder="1" applyAlignment="1">
      <alignment horizontal="center" vertical="center"/>
    </xf>
    <xf numFmtId="165" fontId="11" fillId="3" borderId="44" xfId="1" applyNumberFormat="1" applyFont="1" applyFill="1" applyBorder="1"/>
    <xf numFmtId="164" fontId="11" fillId="3" borderId="44" xfId="1" applyFont="1" applyFill="1" applyBorder="1"/>
    <xf numFmtId="164" fontId="11" fillId="3" borderId="45" xfId="1" applyFont="1" applyFill="1" applyBorder="1"/>
    <xf numFmtId="49" fontId="14" fillId="2" borderId="16" xfId="2" applyNumberFormat="1" applyFont="1" applyFill="1" applyBorder="1" applyAlignment="1">
      <alignment horizontal="center" vertical="justify"/>
    </xf>
    <xf numFmtId="0" fontId="12" fillId="2" borderId="17" xfId="2" applyNumberFormat="1" applyFont="1" applyFill="1" applyBorder="1" applyAlignment="1">
      <alignment wrapText="1"/>
    </xf>
    <xf numFmtId="0" fontId="12" fillId="2" borderId="18" xfId="2" applyNumberFormat="1" applyFont="1" applyFill="1" applyBorder="1" applyAlignment="1">
      <alignment wrapText="1"/>
    </xf>
    <xf numFmtId="49" fontId="14" fillId="2" borderId="46" xfId="2" applyNumberFormat="1" applyFont="1" applyFill="1" applyBorder="1" applyAlignment="1">
      <alignment horizontal="center"/>
    </xf>
    <xf numFmtId="0" fontId="12" fillId="2" borderId="47" xfId="2" applyNumberFormat="1" applyFont="1" applyFill="1" applyBorder="1" applyAlignment="1">
      <alignment wrapText="1"/>
    </xf>
    <xf numFmtId="0" fontId="12" fillId="2" borderId="48" xfId="2" applyNumberFormat="1" applyFont="1" applyFill="1" applyBorder="1" applyAlignment="1">
      <alignment wrapText="1"/>
    </xf>
    <xf numFmtId="49" fontId="3" fillId="6" borderId="39" xfId="0" applyNumberFormat="1" applyFont="1" applyFill="1" applyBorder="1" applyAlignment="1">
      <alignment horizontal="center" vertical="center"/>
    </xf>
    <xf numFmtId="0" fontId="23" fillId="6" borderId="40" xfId="0" applyFont="1" applyFill="1" applyBorder="1" applyAlignment="1">
      <alignment vertical="center" wrapText="1"/>
    </xf>
    <xf numFmtId="0" fontId="3" fillId="6" borderId="40" xfId="0" applyFont="1" applyFill="1" applyBorder="1" applyAlignment="1">
      <alignment horizontal="center" vertical="center"/>
    </xf>
    <xf numFmtId="164" fontId="3" fillId="6" borderId="40" xfId="0" applyNumberFormat="1" applyFont="1" applyFill="1" applyBorder="1" applyAlignment="1">
      <alignment horizontal="center" vertical="center"/>
    </xf>
    <xf numFmtId="165" fontId="12" fillId="6" borderId="40" xfId="1" applyNumberFormat="1" applyFont="1" applyFill="1" applyBorder="1" applyAlignment="1">
      <alignment horizontal="center"/>
    </xf>
    <xf numFmtId="0" fontId="26" fillId="3" borderId="34" xfId="0" applyFont="1" applyFill="1" applyBorder="1" applyAlignment="1">
      <alignment vertical="center" wrapText="1"/>
    </xf>
    <xf numFmtId="165" fontId="12" fillId="6" borderId="34" xfId="1" applyNumberFormat="1" applyFont="1" applyFill="1" applyBorder="1" applyAlignment="1">
      <alignment horizontal="center"/>
    </xf>
    <xf numFmtId="49" fontId="14" fillId="5" borderId="33" xfId="2" applyNumberFormat="1" applyFont="1" applyFill="1" applyBorder="1" applyAlignment="1">
      <alignment horizontal="center"/>
    </xf>
    <xf numFmtId="0" fontId="13" fillId="5" borderId="34" xfId="2" applyNumberFormat="1" applyFont="1" applyFill="1" applyBorder="1" applyAlignment="1">
      <alignment horizontal="left" wrapText="1"/>
    </xf>
    <xf numFmtId="164" fontId="11" fillId="5" borderId="34" xfId="1" applyFont="1" applyFill="1" applyBorder="1"/>
    <xf numFmtId="164" fontId="11" fillId="5" borderId="35" xfId="1" applyFont="1" applyFill="1" applyBorder="1"/>
    <xf numFmtId="49" fontId="14" fillId="3" borderId="33" xfId="2" applyNumberFormat="1" applyFont="1" applyFill="1" applyBorder="1" applyAlignment="1">
      <alignment horizontal="center"/>
    </xf>
    <xf numFmtId="0" fontId="12" fillId="3" borderId="34" xfId="2" applyNumberFormat="1" applyFont="1" applyFill="1" applyBorder="1" applyAlignment="1">
      <alignment horizontal="left" wrapText="1"/>
    </xf>
    <xf numFmtId="164" fontId="12" fillId="3" borderId="34" xfId="2" applyFont="1" applyFill="1" applyBorder="1" applyAlignment="1">
      <alignment horizontal="center"/>
    </xf>
    <xf numFmtId="49" fontId="12" fillId="3" borderId="33" xfId="2" applyNumberFormat="1" applyFont="1" applyFill="1" applyBorder="1" applyAlignment="1">
      <alignment horizontal="center" vertical="top"/>
    </xf>
    <xf numFmtId="164" fontId="12" fillId="2" borderId="34" xfId="2" applyFont="1" applyFill="1" applyBorder="1" applyAlignment="1">
      <alignment horizontal="center"/>
    </xf>
    <xf numFmtId="49" fontId="12" fillId="2" borderId="49" xfId="2" applyNumberFormat="1" applyFont="1" applyFill="1" applyBorder="1" applyAlignment="1">
      <alignment horizontal="center" vertical="justify"/>
    </xf>
    <xf numFmtId="0" fontId="14" fillId="2" borderId="50" xfId="2" quotePrefix="1" applyNumberFormat="1" applyFont="1" applyFill="1" applyBorder="1" applyAlignment="1">
      <alignment horizontal="left"/>
    </xf>
    <xf numFmtId="164" fontId="12" fillId="2" borderId="50" xfId="2" applyFont="1" applyFill="1" applyBorder="1" applyAlignment="1">
      <alignment horizontal="center"/>
    </xf>
    <xf numFmtId="164" fontId="12" fillId="3" borderId="50" xfId="1" applyNumberFormat="1" applyFont="1" applyFill="1" applyBorder="1" applyAlignment="1">
      <alignment horizontal="center"/>
    </xf>
    <xf numFmtId="165" fontId="12" fillId="2" borderId="50" xfId="1" applyNumberFormat="1" applyFont="1" applyFill="1" applyBorder="1" applyAlignment="1">
      <alignment horizontal="center"/>
    </xf>
    <xf numFmtId="164" fontId="11" fillId="0" borderId="50" xfId="1" applyFont="1" applyBorder="1"/>
    <xf numFmtId="49" fontId="12" fillId="2" borderId="36" xfId="2" applyNumberFormat="1" applyFont="1" applyFill="1" applyBorder="1" applyAlignment="1">
      <alignment horizontal="center" vertical="justify"/>
    </xf>
    <xf numFmtId="164" fontId="12" fillId="2" borderId="37" xfId="2" applyFont="1" applyFill="1" applyBorder="1" applyAlignment="1">
      <alignment horizontal="center"/>
    </xf>
    <xf numFmtId="164" fontId="12" fillId="3" borderId="37" xfId="1" applyNumberFormat="1" applyFont="1" applyFill="1" applyBorder="1" applyAlignment="1">
      <alignment horizontal="center"/>
    </xf>
    <xf numFmtId="49" fontId="14" fillId="6" borderId="39" xfId="2" applyNumberFormat="1" applyFont="1" applyFill="1" applyBorder="1" applyAlignment="1">
      <alignment horizontal="center" vertical="justify"/>
    </xf>
    <xf numFmtId="0" fontId="13" fillId="6" borderId="40" xfId="2" applyNumberFormat="1" applyFont="1" applyFill="1" applyBorder="1" applyAlignment="1">
      <alignment horizontal="left" vertical="top"/>
    </xf>
    <xf numFmtId="164" fontId="12" fillId="6" borderId="40" xfId="2" applyFont="1" applyFill="1" applyBorder="1" applyAlignment="1">
      <alignment horizontal="center"/>
    </xf>
    <xf numFmtId="164" fontId="12" fillId="6" borderId="40" xfId="1" applyNumberFormat="1" applyFont="1" applyFill="1" applyBorder="1" applyAlignment="1">
      <alignment horizontal="center"/>
    </xf>
    <xf numFmtId="49" fontId="14" fillId="8" borderId="33" xfId="2" applyNumberFormat="1" applyFont="1" applyFill="1" applyBorder="1" applyAlignment="1">
      <alignment horizontal="center" vertical="justify"/>
    </xf>
    <xf numFmtId="0" fontId="13" fillId="8" borderId="34" xfId="2" applyNumberFormat="1" applyFont="1" applyFill="1" applyBorder="1" applyAlignment="1">
      <alignment horizontal="left" vertical="top"/>
    </xf>
    <xf numFmtId="164" fontId="12" fillId="8" borderId="34" xfId="2" applyFont="1" applyFill="1" applyBorder="1" applyAlignment="1">
      <alignment horizontal="center"/>
    </xf>
    <xf numFmtId="164" fontId="12" fillId="8" borderId="34" xfId="1" applyNumberFormat="1" applyFont="1" applyFill="1" applyBorder="1" applyAlignment="1">
      <alignment horizontal="center"/>
    </xf>
    <xf numFmtId="165" fontId="12" fillId="8" borderId="34" xfId="1" applyNumberFormat="1" applyFont="1" applyFill="1" applyBorder="1" applyAlignment="1">
      <alignment horizontal="center"/>
    </xf>
    <xf numFmtId="164" fontId="11" fillId="8" borderId="34" xfId="1" applyFont="1" applyFill="1" applyBorder="1"/>
    <xf numFmtId="164" fontId="11" fillId="8" borderId="35" xfId="1" applyFont="1" applyFill="1" applyBorder="1"/>
    <xf numFmtId="49" fontId="12" fillId="2" borderId="33" xfId="2" applyNumberFormat="1" applyFont="1" applyFill="1" applyBorder="1" applyAlignment="1">
      <alignment horizontal="center" vertical="top"/>
    </xf>
    <xf numFmtId="0" fontId="12" fillId="0" borderId="34" xfId="3" applyFont="1" applyBorder="1" applyAlignment="1">
      <alignment horizontal="left" wrapText="1"/>
    </xf>
    <xf numFmtId="0" fontId="12" fillId="0" borderId="34" xfId="3" applyFont="1" applyFill="1" applyBorder="1" applyAlignment="1">
      <alignment horizontal="center"/>
    </xf>
    <xf numFmtId="164" fontId="11" fillId="0" borderId="34" xfId="1" applyFont="1" applyBorder="1" applyAlignment="1"/>
    <xf numFmtId="164" fontId="11" fillId="0" borderId="35" xfId="1" applyFont="1" applyBorder="1" applyAlignment="1"/>
    <xf numFmtId="49" fontId="14" fillId="6" borderId="33" xfId="2" applyNumberFormat="1" applyFont="1" applyFill="1" applyBorder="1" applyAlignment="1">
      <alignment horizontal="center" vertical="justify"/>
    </xf>
    <xf numFmtId="0" fontId="13" fillId="6" borderId="34" xfId="2" applyNumberFormat="1" applyFont="1" applyFill="1" applyBorder="1" applyAlignment="1">
      <alignment horizontal="left" vertical="top"/>
    </xf>
    <xf numFmtId="164" fontId="12" fillId="6" borderId="34" xfId="2" applyFont="1" applyFill="1" applyBorder="1" applyAlignment="1">
      <alignment horizontal="center"/>
    </xf>
    <xf numFmtId="164" fontId="12" fillId="6" borderId="34" xfId="1" applyNumberFormat="1" applyFont="1" applyFill="1" applyBorder="1" applyAlignment="1">
      <alignment horizontal="center"/>
    </xf>
    <xf numFmtId="49" fontId="14" fillId="2" borderId="33" xfId="2" applyNumberFormat="1" applyFont="1" applyFill="1" applyBorder="1" applyAlignment="1">
      <alignment horizontal="center" vertical="justify"/>
    </xf>
    <xf numFmtId="164" fontId="14" fillId="2" borderId="34" xfId="2" applyFont="1" applyFill="1" applyBorder="1" applyAlignment="1">
      <alignment horizontal="center"/>
    </xf>
    <xf numFmtId="164" fontId="14" fillId="3" borderId="34" xfId="1" applyNumberFormat="1" applyFont="1" applyFill="1" applyBorder="1" applyAlignment="1">
      <alignment horizontal="center"/>
    </xf>
    <xf numFmtId="164" fontId="14" fillId="2" borderId="50" xfId="2" applyFont="1" applyFill="1" applyBorder="1" applyAlignment="1">
      <alignment horizontal="center"/>
    </xf>
    <xf numFmtId="164" fontId="14" fillId="3" borderId="50" xfId="1" applyNumberFormat="1" applyFont="1" applyFill="1" applyBorder="1" applyAlignment="1">
      <alignment horizontal="center"/>
    </xf>
    <xf numFmtId="49" fontId="14" fillId="2" borderId="27" xfId="2" applyNumberFormat="1" applyFont="1" applyFill="1" applyBorder="1" applyAlignment="1">
      <alignment horizontal="center" vertical="justify"/>
    </xf>
    <xf numFmtId="164" fontId="14" fillId="2" borderId="28" xfId="2" applyFont="1" applyFill="1" applyBorder="1" applyAlignment="1">
      <alignment horizontal="center"/>
    </xf>
    <xf numFmtId="164" fontId="14" fillId="3" borderId="28" xfId="1" applyNumberFormat="1" applyFont="1" applyFill="1" applyBorder="1" applyAlignment="1">
      <alignment horizontal="center"/>
    </xf>
    <xf numFmtId="49" fontId="14" fillId="2" borderId="21" xfId="2" applyNumberFormat="1" applyFont="1" applyFill="1" applyBorder="1" applyAlignment="1">
      <alignment horizontal="center" vertical="justify"/>
    </xf>
    <xf numFmtId="164" fontId="14" fillId="2" borderId="22" xfId="2" applyFont="1" applyFill="1" applyBorder="1" applyAlignment="1">
      <alignment horizontal="center"/>
    </xf>
    <xf numFmtId="164" fontId="14" fillId="3" borderId="22" xfId="1" applyNumberFormat="1" applyFont="1" applyFill="1" applyBorder="1" applyAlignment="1">
      <alignment horizontal="center"/>
    </xf>
    <xf numFmtId="0" fontId="13" fillId="2" borderId="28" xfId="2" quotePrefix="1" applyNumberFormat="1" applyFont="1" applyFill="1" applyBorder="1" applyAlignment="1">
      <alignment horizontal="center"/>
    </xf>
    <xf numFmtId="0" fontId="12" fillId="2" borderId="22" xfId="3" applyNumberFormat="1" applyFont="1" applyFill="1" applyBorder="1" applyAlignment="1">
      <alignment wrapText="1"/>
    </xf>
    <xf numFmtId="0" fontId="12" fillId="2" borderId="23" xfId="3" applyNumberFormat="1" applyFont="1" applyFill="1" applyBorder="1" applyAlignment="1">
      <alignment wrapText="1"/>
    </xf>
    <xf numFmtId="49" fontId="14" fillId="5" borderId="49" xfId="2" applyNumberFormat="1" applyFont="1" applyFill="1" applyBorder="1" applyAlignment="1">
      <alignment horizontal="center" vertical="justify"/>
    </xf>
    <xf numFmtId="0" fontId="13" fillId="5" borderId="50" xfId="2" applyNumberFormat="1" applyFont="1" applyFill="1" applyBorder="1" applyAlignment="1">
      <alignment horizontal="left"/>
    </xf>
    <xf numFmtId="164" fontId="12" fillId="5" borderId="50" xfId="2" applyFont="1" applyFill="1" applyBorder="1" applyAlignment="1">
      <alignment horizontal="center"/>
    </xf>
    <xf numFmtId="164" fontId="12" fillId="5" borderId="50" xfId="1" applyNumberFormat="1" applyFont="1" applyFill="1" applyBorder="1" applyAlignment="1">
      <alignment horizontal="center"/>
    </xf>
    <xf numFmtId="165" fontId="12" fillId="5" borderId="50" xfId="1" applyNumberFormat="1" applyFont="1" applyFill="1" applyBorder="1" applyAlignment="1">
      <alignment horizontal="center"/>
    </xf>
    <xf numFmtId="164" fontId="14" fillId="5" borderId="42" xfId="2" applyFont="1" applyFill="1" applyBorder="1"/>
    <xf numFmtId="0" fontId="14" fillId="6" borderId="34" xfId="3" applyFont="1" applyFill="1" applyBorder="1" applyAlignment="1">
      <alignment horizontal="center"/>
    </xf>
    <xf numFmtId="164" fontId="14" fillId="6" borderId="34" xfId="1" applyNumberFormat="1" applyFont="1" applyFill="1" applyBorder="1" applyAlignment="1">
      <alignment horizontal="center"/>
    </xf>
    <xf numFmtId="165" fontId="14" fillId="6" borderId="34" xfId="1" applyNumberFormat="1" applyFont="1" applyFill="1" applyBorder="1" applyAlignment="1">
      <alignment horizontal="center"/>
    </xf>
    <xf numFmtId="0" fontId="12" fillId="3" borderId="34" xfId="2" applyNumberFormat="1" applyFont="1" applyFill="1" applyBorder="1" applyAlignment="1">
      <alignment horizontal="justify"/>
    </xf>
    <xf numFmtId="0" fontId="12" fillId="3" borderId="34" xfId="3" applyFont="1" applyFill="1" applyBorder="1" applyAlignment="1">
      <alignment horizontal="center"/>
    </xf>
    <xf numFmtId="0" fontId="13" fillId="5" borderId="34" xfId="2" applyNumberFormat="1" applyFont="1" applyFill="1" applyBorder="1" applyAlignment="1">
      <alignment horizontal="left"/>
    </xf>
    <xf numFmtId="49" fontId="12" fillId="2" borderId="46" xfId="2" applyNumberFormat="1" applyFont="1" applyFill="1" applyBorder="1" applyAlignment="1">
      <alignment horizontal="center" vertical="top"/>
    </xf>
    <xf numFmtId="0" fontId="12" fillId="2" borderId="47" xfId="2" applyNumberFormat="1" applyFont="1" applyFill="1" applyBorder="1" applyAlignment="1">
      <alignment vertical="top" wrapText="1"/>
    </xf>
    <xf numFmtId="0" fontId="12" fillId="2" borderId="47" xfId="2" applyNumberFormat="1" applyFont="1" applyFill="1" applyBorder="1" applyAlignment="1">
      <alignment vertical="top"/>
    </xf>
    <xf numFmtId="0" fontId="12" fillId="2" borderId="48" xfId="2" applyNumberFormat="1" applyFont="1" applyFill="1" applyBorder="1" applyAlignment="1">
      <alignment vertical="top"/>
    </xf>
    <xf numFmtId="0" fontId="12" fillId="2" borderId="34" xfId="3" applyFont="1" applyFill="1" applyBorder="1" applyAlignment="1">
      <alignment horizontal="left" wrapText="1"/>
    </xf>
    <xf numFmtId="0" fontId="12" fillId="0" borderId="34" xfId="3" applyFont="1" applyBorder="1" applyAlignment="1">
      <alignment horizontal="center"/>
    </xf>
    <xf numFmtId="0" fontId="12" fillId="2" borderId="48" xfId="2" applyNumberFormat="1" applyFont="1" applyFill="1" applyBorder="1" applyAlignment="1">
      <alignment vertical="top" wrapText="1"/>
    </xf>
    <xf numFmtId="49" fontId="14" fillId="5" borderId="39" xfId="2" applyNumberFormat="1" applyFont="1" applyFill="1" applyBorder="1" applyAlignment="1">
      <alignment horizontal="center" vertical="justify"/>
    </xf>
    <xf numFmtId="0" fontId="13" fillId="5" borderId="40" xfId="2" applyNumberFormat="1" applyFont="1" applyFill="1" applyBorder="1" applyAlignment="1">
      <alignment horizontal="justify" vertical="top"/>
    </xf>
    <xf numFmtId="164" fontId="12" fillId="5" borderId="40" xfId="2" applyFont="1" applyFill="1" applyBorder="1" applyAlignment="1">
      <alignment horizontal="center"/>
    </xf>
    <xf numFmtId="164" fontId="12" fillId="5" borderId="40" xfId="1" applyNumberFormat="1" applyFont="1" applyFill="1" applyBorder="1" applyAlignment="1">
      <alignment horizontal="center"/>
    </xf>
    <xf numFmtId="165" fontId="12" fillId="5" borderId="40" xfId="1" applyNumberFormat="1" applyFont="1" applyFill="1" applyBorder="1" applyAlignment="1">
      <alignment horizontal="center"/>
    </xf>
    <xf numFmtId="164" fontId="14" fillId="5" borderId="41" xfId="2" applyFont="1" applyFill="1" applyBorder="1"/>
    <xf numFmtId="0" fontId="13" fillId="6" borderId="34" xfId="2" applyNumberFormat="1" applyFont="1" applyFill="1" applyBorder="1" applyAlignment="1">
      <alignment horizontal="left"/>
    </xf>
    <xf numFmtId="0" fontId="12" fillId="6" borderId="34" xfId="2" applyNumberFormat="1" applyFont="1" applyFill="1" applyBorder="1" applyAlignment="1">
      <alignment horizontal="center"/>
    </xf>
    <xf numFmtId="164" fontId="12" fillId="6" borderId="35" xfId="2" applyFont="1" applyFill="1" applyBorder="1"/>
    <xf numFmtId="49" fontId="14" fillId="2" borderId="33" xfId="3" applyNumberFormat="1" applyFont="1" applyFill="1" applyBorder="1" applyAlignment="1">
      <alignment horizontal="center"/>
    </xf>
    <xf numFmtId="0" fontId="13" fillId="0" borderId="34" xfId="3" applyFont="1" applyFill="1" applyBorder="1" applyAlignment="1">
      <alignment horizontal="left" wrapText="1"/>
    </xf>
    <xf numFmtId="0" fontId="22" fillId="0" borderId="34" xfId="3" applyFont="1" applyFill="1" applyBorder="1" applyAlignment="1">
      <alignment horizontal="center"/>
    </xf>
    <xf numFmtId="164" fontId="22" fillId="3" borderId="34" xfId="1" applyNumberFormat="1" applyFont="1" applyFill="1" applyBorder="1" applyAlignment="1">
      <alignment horizontal="center"/>
    </xf>
    <xf numFmtId="165" fontId="14" fillId="2" borderId="34" xfId="1" applyNumberFormat="1" applyFont="1" applyFill="1" applyBorder="1" applyAlignment="1">
      <alignment horizontal="center"/>
    </xf>
    <xf numFmtId="0" fontId="13" fillId="5" borderId="34" xfId="2" applyNumberFormat="1" applyFont="1" applyFill="1" applyBorder="1" applyAlignment="1">
      <alignment horizontal="justify" vertical="top"/>
    </xf>
    <xf numFmtId="0" fontId="12" fillId="2" borderId="22" xfId="2" applyNumberFormat="1" applyFont="1" applyFill="1" applyBorder="1" applyAlignment="1">
      <alignment wrapText="1"/>
    </xf>
    <xf numFmtId="0" fontId="12" fillId="2" borderId="22" xfId="2" applyNumberFormat="1" applyFont="1" applyFill="1" applyBorder="1" applyAlignment="1"/>
    <xf numFmtId="0" fontId="12" fillId="2" borderId="23" xfId="2" applyNumberFormat="1" applyFont="1" applyFill="1" applyBorder="1" applyAlignment="1"/>
    <xf numFmtId="49" fontId="14" fillId="6" borderId="49" xfId="1" applyNumberFormat="1" applyFont="1" applyFill="1" applyBorder="1" applyAlignment="1">
      <alignment horizontal="left" vertical="justify"/>
    </xf>
    <xf numFmtId="0" fontId="13" fillId="6" borderId="50" xfId="2" applyNumberFormat="1" applyFont="1" applyFill="1" applyBorder="1" applyAlignment="1">
      <alignment horizontal="justify"/>
    </xf>
    <xf numFmtId="164" fontId="14" fillId="6" borderId="50" xfId="2" applyFont="1" applyFill="1" applyBorder="1" applyAlignment="1">
      <alignment horizontal="center"/>
    </xf>
    <xf numFmtId="164" fontId="14" fillId="6" borderId="50" xfId="1" applyFont="1" applyFill="1" applyBorder="1" applyAlignment="1">
      <alignment horizontal="center"/>
    </xf>
    <xf numFmtId="165" fontId="14" fillId="6" borderId="50" xfId="1" applyNumberFormat="1" applyFont="1" applyFill="1" applyBorder="1" applyAlignment="1">
      <alignment horizontal="center"/>
    </xf>
    <xf numFmtId="164" fontId="11" fillId="6" borderId="50" xfId="1" applyFont="1" applyFill="1" applyBorder="1"/>
    <xf numFmtId="164" fontId="11" fillId="6" borderId="42" xfId="1" applyFont="1" applyFill="1" applyBorder="1"/>
    <xf numFmtId="49" fontId="14" fillId="10" borderId="33" xfId="1" applyNumberFormat="1" applyFont="1" applyFill="1" applyBorder="1" applyAlignment="1">
      <alignment horizontal="left" vertical="justify"/>
    </xf>
    <xf numFmtId="0" fontId="13" fillId="10" borderId="34" xfId="2" applyNumberFormat="1" applyFont="1" applyFill="1" applyBorder="1" applyAlignment="1">
      <alignment horizontal="justify"/>
    </xf>
    <xf numFmtId="164" fontId="12" fillId="10" borderId="34" xfId="2" applyFont="1" applyFill="1" applyBorder="1" applyAlignment="1">
      <alignment horizontal="center"/>
    </xf>
    <xf numFmtId="164" fontId="12" fillId="10" borderId="34" xfId="1" applyFont="1" applyFill="1" applyBorder="1" applyAlignment="1">
      <alignment horizontal="center"/>
    </xf>
    <xf numFmtId="165" fontId="12" fillId="10" borderId="34" xfId="1" applyNumberFormat="1" applyFont="1" applyFill="1" applyBorder="1" applyAlignment="1">
      <alignment horizontal="center"/>
    </xf>
    <xf numFmtId="164" fontId="12" fillId="10" borderId="34" xfId="1" applyNumberFormat="1" applyFont="1" applyFill="1" applyBorder="1" applyAlignment="1">
      <alignment horizontal="center"/>
    </xf>
    <xf numFmtId="164" fontId="14" fillId="10" borderId="35" xfId="2" applyFont="1" applyFill="1" applyBorder="1"/>
    <xf numFmtId="49" fontId="12" fillId="3" borderId="33" xfId="1" applyNumberFormat="1" applyFont="1" applyFill="1" applyBorder="1" applyAlignment="1">
      <alignment horizontal="left" vertical="justify"/>
    </xf>
    <xf numFmtId="0" fontId="13" fillId="10" borderId="34" xfId="2" applyNumberFormat="1" applyFont="1" applyFill="1" applyBorder="1" applyAlignment="1">
      <alignment horizontal="left"/>
    </xf>
    <xf numFmtId="164" fontId="11" fillId="10" borderId="34" xfId="1" applyFont="1" applyFill="1" applyBorder="1"/>
    <xf numFmtId="164" fontId="11" fillId="10" borderId="35" xfId="1" applyFont="1" applyFill="1" applyBorder="1"/>
    <xf numFmtId="0" fontId="13" fillId="10" borderId="34" xfId="3" applyFont="1" applyFill="1" applyBorder="1" applyAlignment="1">
      <alignment horizontal="left" wrapText="1"/>
    </xf>
    <xf numFmtId="0" fontId="14" fillId="10" borderId="34" xfId="3" applyFont="1" applyFill="1" applyBorder="1" applyAlignment="1">
      <alignment horizontal="center"/>
    </xf>
    <xf numFmtId="49" fontId="12" fillId="3" borderId="36" xfId="1" applyNumberFormat="1" applyFont="1" applyFill="1" applyBorder="1" applyAlignment="1">
      <alignment horizontal="left" vertical="justify"/>
    </xf>
    <xf numFmtId="0" fontId="12" fillId="3" borderId="37" xfId="3" applyFont="1" applyFill="1" applyBorder="1" applyAlignment="1">
      <alignment horizontal="left" wrapText="1"/>
    </xf>
    <xf numFmtId="0" fontId="12" fillId="3" borderId="37" xfId="3" applyFont="1" applyFill="1" applyBorder="1" applyAlignment="1">
      <alignment horizontal="center"/>
    </xf>
    <xf numFmtId="164" fontId="12" fillId="3" borderId="37" xfId="1" applyFont="1" applyFill="1" applyBorder="1" applyAlignment="1">
      <alignment horizontal="center"/>
    </xf>
    <xf numFmtId="49" fontId="12" fillId="3" borderId="49" xfId="1" applyNumberFormat="1" applyFont="1" applyFill="1" applyBorder="1" applyAlignment="1">
      <alignment horizontal="left" vertical="justify"/>
    </xf>
    <xf numFmtId="0" fontId="12" fillId="3" borderId="50" xfId="3" applyFont="1" applyFill="1" applyBorder="1" applyAlignment="1">
      <alignment horizontal="left" wrapText="1"/>
    </xf>
    <xf numFmtId="0" fontId="12" fillId="3" borderId="50" xfId="3" applyFont="1" applyFill="1" applyBorder="1" applyAlignment="1">
      <alignment horizontal="center"/>
    </xf>
    <xf numFmtId="164" fontId="12" fillId="3" borderId="50" xfId="1" applyFont="1" applyFill="1" applyBorder="1" applyAlignment="1">
      <alignment horizontal="center"/>
    </xf>
    <xf numFmtId="49" fontId="14" fillId="6" borderId="33" xfId="1" applyNumberFormat="1" applyFont="1" applyFill="1" applyBorder="1" applyAlignment="1">
      <alignment horizontal="left" vertical="justify"/>
    </xf>
    <xf numFmtId="0" fontId="13" fillId="6" borderId="34" xfId="2" applyNumberFormat="1" applyFont="1" applyFill="1" applyBorder="1" applyAlignment="1">
      <alignment horizontal="justify"/>
    </xf>
    <xf numFmtId="164" fontId="14" fillId="6" borderId="34" xfId="2" applyFont="1" applyFill="1" applyBorder="1" applyAlignment="1">
      <alignment horizontal="center"/>
    </xf>
    <xf numFmtId="164" fontId="14" fillId="6" borderId="34" xfId="1" applyFont="1" applyFill="1" applyBorder="1" applyAlignment="1">
      <alignment horizontal="center"/>
    </xf>
    <xf numFmtId="0" fontId="12" fillId="0" borderId="37" xfId="3" applyFont="1" applyBorder="1" applyAlignment="1">
      <alignment horizontal="left" wrapText="1"/>
    </xf>
    <xf numFmtId="0" fontId="12" fillId="0" borderId="37" xfId="3" applyFont="1" applyBorder="1" applyAlignment="1">
      <alignment horizontal="center"/>
    </xf>
    <xf numFmtId="49" fontId="12" fillId="2" borderId="21" xfId="2" applyNumberFormat="1" applyFont="1" applyFill="1" applyBorder="1" applyAlignment="1">
      <alignment horizontal="left" vertical="justify"/>
    </xf>
    <xf numFmtId="0" fontId="14" fillId="2" borderId="22" xfId="2" applyNumberFormat="1" applyFont="1" applyFill="1" applyBorder="1" applyAlignment="1">
      <alignment wrapText="1"/>
    </xf>
    <xf numFmtId="49" fontId="14" fillId="9" borderId="49" xfId="1" applyNumberFormat="1" applyFont="1" applyFill="1" applyBorder="1" applyAlignment="1">
      <alignment horizontal="left" vertical="justify"/>
    </xf>
    <xf numFmtId="0" fontId="13" fillId="9" borderId="50" xfId="2" applyNumberFormat="1" applyFont="1" applyFill="1" applyBorder="1" applyAlignment="1">
      <alignment horizontal="justify"/>
    </xf>
    <xf numFmtId="164" fontId="14" fillId="9" borderId="50" xfId="2" applyFont="1" applyFill="1" applyBorder="1" applyAlignment="1">
      <alignment horizontal="center"/>
    </xf>
    <xf numFmtId="164" fontId="14" fillId="9" borderId="50" xfId="1" applyFont="1" applyFill="1" applyBorder="1" applyAlignment="1">
      <alignment horizontal="center"/>
    </xf>
    <xf numFmtId="165" fontId="14" fillId="9" borderId="50" xfId="1" applyNumberFormat="1" applyFont="1" applyFill="1" applyBorder="1" applyAlignment="1">
      <alignment horizontal="center"/>
    </xf>
    <xf numFmtId="164" fontId="11" fillId="9" borderId="50" xfId="1" applyFont="1" applyFill="1" applyBorder="1"/>
    <xf numFmtId="164" fontId="11" fillId="9" borderId="42" xfId="1" applyFont="1" applyFill="1" applyBorder="1"/>
    <xf numFmtId="49" fontId="25" fillId="3" borderId="33" xfId="0" applyNumberFormat="1" applyFont="1" applyFill="1" applyBorder="1" applyAlignment="1">
      <alignment horizontal="center" vertical="top"/>
    </xf>
    <xf numFmtId="0" fontId="23" fillId="3" borderId="34" xfId="0" applyFont="1" applyFill="1" applyBorder="1" applyAlignment="1">
      <alignment vertical="justify" wrapText="1"/>
    </xf>
    <xf numFmtId="49" fontId="3" fillId="3" borderId="33" xfId="0" applyNumberFormat="1" applyFont="1" applyFill="1" applyBorder="1" applyAlignment="1">
      <alignment horizontal="center" vertical="top"/>
    </xf>
    <xf numFmtId="0" fontId="3" fillId="3" borderId="34" xfId="0" applyFont="1" applyFill="1" applyBorder="1" applyAlignment="1">
      <alignment wrapText="1"/>
    </xf>
    <xf numFmtId="0" fontId="3" fillId="3" borderId="34" xfId="0" applyFont="1" applyFill="1" applyBorder="1" applyAlignment="1">
      <alignment horizontal="center"/>
    </xf>
    <xf numFmtId="164" fontId="3" fillId="3" borderId="34" xfId="0" applyNumberFormat="1" applyFont="1" applyFill="1" applyBorder="1" applyAlignment="1">
      <alignment horizontal="center"/>
    </xf>
    <xf numFmtId="164" fontId="12" fillId="3" borderId="34" xfId="1" applyNumberFormat="1" applyFont="1" applyFill="1" applyBorder="1" applyAlignment="1"/>
    <xf numFmtId="164" fontId="17" fillId="3" borderId="35" xfId="1" applyFont="1" applyFill="1" applyBorder="1" applyAlignment="1"/>
    <xf numFmtId="0" fontId="3" fillId="3" borderId="34" xfId="0" applyFont="1" applyFill="1" applyBorder="1" applyAlignment="1">
      <alignment vertical="justify" wrapText="1"/>
    </xf>
    <xf numFmtId="0" fontId="25" fillId="3" borderId="34" xfId="0" applyFont="1" applyFill="1" applyBorder="1" applyAlignment="1">
      <alignment horizontal="center" vertical="center"/>
    </xf>
    <xf numFmtId="164" fontId="25" fillId="3" borderId="34" xfId="0" applyNumberFormat="1" applyFont="1" applyFill="1" applyBorder="1" applyAlignment="1">
      <alignment horizontal="center" vertical="center"/>
    </xf>
    <xf numFmtId="164" fontId="17" fillId="3" borderId="35" xfId="1" applyFont="1" applyFill="1" applyBorder="1"/>
    <xf numFmtId="164" fontId="12" fillId="3" borderId="37" xfId="1" applyNumberFormat="1" applyFont="1" applyFill="1" applyBorder="1" applyAlignment="1"/>
    <xf numFmtId="164" fontId="17" fillId="3" borderId="38" xfId="1" applyFont="1" applyFill="1" applyBorder="1"/>
    <xf numFmtId="49" fontId="14" fillId="9" borderId="33" xfId="1" applyNumberFormat="1" applyFont="1" applyFill="1" applyBorder="1" applyAlignment="1">
      <alignment horizontal="left" vertical="justify"/>
    </xf>
    <xf numFmtId="0" fontId="13" fillId="9" borderId="34" xfId="2" applyNumberFormat="1" applyFont="1" applyFill="1" applyBorder="1" applyAlignment="1">
      <alignment horizontal="justify"/>
    </xf>
    <xf numFmtId="164" fontId="14" fillId="9" borderId="34" xfId="2" applyFont="1" applyFill="1" applyBorder="1" applyAlignment="1">
      <alignment horizontal="center"/>
    </xf>
    <xf numFmtId="164" fontId="14" fillId="9" borderId="34" xfId="1" applyFont="1" applyFill="1" applyBorder="1" applyAlignment="1">
      <alignment horizontal="center"/>
    </xf>
    <xf numFmtId="165" fontId="14" fillId="9" borderId="34" xfId="1" applyNumberFormat="1" applyFont="1" applyFill="1" applyBorder="1" applyAlignment="1">
      <alignment horizontal="center"/>
    </xf>
    <xf numFmtId="164" fontId="11" fillId="9" borderId="34" xfId="1" applyFont="1" applyFill="1" applyBorder="1"/>
    <xf numFmtId="164" fontId="11" fillId="9" borderId="35" xfId="1" applyFont="1" applyFill="1" applyBorder="1"/>
    <xf numFmtId="0" fontId="11" fillId="0" borderId="28" xfId="0" applyFont="1" applyBorder="1" applyAlignment="1">
      <alignment horizontal="center"/>
    </xf>
    <xf numFmtId="164" fontId="11" fillId="0" borderId="28" xfId="1" applyNumberFormat="1" applyFont="1" applyBorder="1"/>
    <xf numFmtId="165" fontId="11" fillId="0" borderId="28" xfId="1" applyNumberFormat="1" applyFont="1" applyBorder="1"/>
    <xf numFmtId="164" fontId="17" fillId="0" borderId="29" xfId="1" applyFont="1" applyBorder="1"/>
    <xf numFmtId="0" fontId="12" fillId="0" borderId="22" xfId="3" applyFont="1" applyBorder="1" applyAlignment="1">
      <alignment horizontal="left" wrapText="1"/>
    </xf>
    <xf numFmtId="0" fontId="12" fillId="0" borderId="22" xfId="3" applyFont="1" applyBorder="1" applyAlignment="1">
      <alignment horizontal="center"/>
    </xf>
    <xf numFmtId="164" fontId="12" fillId="3" borderId="22" xfId="1" applyFont="1" applyFill="1" applyBorder="1" applyAlignment="1">
      <alignment horizontal="center"/>
    </xf>
    <xf numFmtId="165" fontId="12" fillId="2" borderId="27" xfId="1" applyNumberFormat="1" applyFont="1" applyFill="1" applyBorder="1" applyAlignment="1">
      <alignment horizontal="left" vertical="justify"/>
    </xf>
    <xf numFmtId="165" fontId="14" fillId="2" borderId="49" xfId="1" applyNumberFormat="1" applyFont="1" applyFill="1" applyBorder="1" applyAlignment="1">
      <alignment horizontal="left" vertical="justify"/>
    </xf>
    <xf numFmtId="0" fontId="14" fillId="0" borderId="50" xfId="3" applyFont="1" applyBorder="1" applyAlignment="1">
      <alignment horizontal="left" wrapText="1"/>
    </xf>
    <xf numFmtId="0" fontId="14" fillId="0" borderId="50" xfId="3" applyFont="1" applyBorder="1" applyAlignment="1">
      <alignment horizontal="center"/>
    </xf>
    <xf numFmtId="164" fontId="14" fillId="3" borderId="50" xfId="1" applyFont="1" applyFill="1" applyBorder="1" applyAlignment="1">
      <alignment horizontal="center"/>
    </xf>
    <xf numFmtId="165" fontId="14" fillId="2" borderId="50" xfId="1" applyNumberFormat="1" applyFont="1" applyFill="1" applyBorder="1" applyAlignment="1">
      <alignment horizontal="center"/>
    </xf>
    <xf numFmtId="164" fontId="17" fillId="0" borderId="50" xfId="1" applyFont="1" applyBorder="1"/>
    <xf numFmtId="165" fontId="12" fillId="2" borderId="33" xfId="1" applyNumberFormat="1" applyFont="1" applyFill="1" applyBorder="1" applyAlignment="1">
      <alignment horizontal="left" vertical="justify"/>
    </xf>
    <xf numFmtId="165" fontId="14" fillId="11" borderId="33" xfId="1" applyNumberFormat="1" applyFont="1" applyFill="1" applyBorder="1" applyAlignment="1">
      <alignment horizontal="left" vertical="justify"/>
    </xf>
    <xf numFmtId="0" fontId="14" fillId="11" borderId="34" xfId="3" applyFont="1" applyFill="1" applyBorder="1" applyAlignment="1">
      <alignment horizontal="left" wrapText="1"/>
    </xf>
    <xf numFmtId="0" fontId="14" fillId="11" borderId="34" xfId="3" applyFont="1" applyFill="1" applyBorder="1" applyAlignment="1">
      <alignment horizontal="center"/>
    </xf>
    <xf numFmtId="164" fontId="14" fillId="11" borderId="34" xfId="1" applyFont="1" applyFill="1" applyBorder="1" applyAlignment="1">
      <alignment horizontal="center"/>
    </xf>
    <xf numFmtId="165" fontId="14" fillId="11" borderId="34" xfId="1" applyNumberFormat="1" applyFont="1" applyFill="1" applyBorder="1" applyAlignment="1">
      <alignment horizontal="center"/>
    </xf>
    <xf numFmtId="164" fontId="17" fillId="11" borderId="34" xfId="1" applyFont="1" applyFill="1" applyBorder="1"/>
    <xf numFmtId="165" fontId="14" fillId="2" borderId="33" xfId="1" applyNumberFormat="1" applyFont="1" applyFill="1" applyBorder="1" applyAlignment="1">
      <alignment horizontal="left"/>
    </xf>
    <xf numFmtId="0" fontId="13" fillId="0" borderId="34" xfId="3" applyNumberFormat="1" applyFont="1" applyBorder="1" applyAlignment="1">
      <alignment horizontal="left"/>
    </xf>
    <xf numFmtId="0" fontId="14" fillId="0" borderId="34" xfId="3" applyFont="1" applyBorder="1" applyAlignment="1">
      <alignment horizontal="center"/>
    </xf>
    <xf numFmtId="164" fontId="14" fillId="3" borderId="34" xfId="1" applyFont="1" applyFill="1" applyBorder="1" applyAlignment="1">
      <alignment horizontal="center"/>
    </xf>
    <xf numFmtId="165" fontId="14" fillId="3" borderId="33" xfId="1" applyNumberFormat="1" applyFont="1" applyFill="1" applyBorder="1" applyAlignment="1">
      <alignment horizontal="left" vertical="justify"/>
    </xf>
    <xf numFmtId="0" fontId="14" fillId="3" borderId="34" xfId="3" applyFont="1" applyFill="1" applyBorder="1" applyAlignment="1">
      <alignment horizontal="left" wrapText="1"/>
    </xf>
    <xf numFmtId="0" fontId="14" fillId="3" borderId="34" xfId="3" applyFont="1" applyFill="1" applyBorder="1" applyAlignment="1">
      <alignment horizontal="center"/>
    </xf>
    <xf numFmtId="165" fontId="14" fillId="3" borderId="34" xfId="1" applyNumberFormat="1" applyFont="1" applyFill="1" applyBorder="1" applyAlignment="1">
      <alignment horizontal="center"/>
    </xf>
    <xf numFmtId="164" fontId="17" fillId="3" borderId="34" xfId="1" applyFont="1" applyFill="1" applyBorder="1"/>
    <xf numFmtId="165" fontId="14" fillId="3" borderId="36" xfId="1" applyNumberFormat="1" applyFont="1" applyFill="1" applyBorder="1" applyAlignment="1">
      <alignment horizontal="left" vertical="justify"/>
    </xf>
    <xf numFmtId="0" fontId="14" fillId="3" borderId="37" xfId="3" applyFont="1" applyFill="1" applyBorder="1" applyAlignment="1">
      <alignment horizontal="left" wrapText="1"/>
    </xf>
    <xf numFmtId="0" fontId="14" fillId="3" borderId="37" xfId="3" applyFont="1" applyFill="1" applyBorder="1" applyAlignment="1">
      <alignment horizontal="center"/>
    </xf>
    <xf numFmtId="164" fontId="14" fillId="3" borderId="37" xfId="1" applyFont="1" applyFill="1" applyBorder="1" applyAlignment="1">
      <alignment horizontal="center"/>
    </xf>
    <xf numFmtId="165" fontId="14" fillId="3" borderId="37" xfId="1" applyNumberFormat="1" applyFont="1" applyFill="1" applyBorder="1" applyAlignment="1">
      <alignment horizontal="center"/>
    </xf>
    <xf numFmtId="164" fontId="17" fillId="3" borderId="37" xfId="1" applyFont="1" applyFill="1" applyBorder="1"/>
    <xf numFmtId="165" fontId="12" fillId="2" borderId="49" xfId="1" applyNumberFormat="1" applyFont="1" applyFill="1" applyBorder="1" applyAlignment="1">
      <alignment horizontal="left" vertical="justify"/>
    </xf>
    <xf numFmtId="0" fontId="13" fillId="2" borderId="50" xfId="2" quotePrefix="1" applyNumberFormat="1" applyFont="1" applyFill="1" applyBorder="1" applyAlignment="1">
      <alignment horizontal="center"/>
    </xf>
    <xf numFmtId="0" fontId="13" fillId="2" borderId="34" xfId="2" applyNumberFormat="1" applyFont="1" applyFill="1" applyBorder="1" applyAlignment="1">
      <alignment horizontal="center"/>
    </xf>
    <xf numFmtId="165" fontId="14" fillId="5" borderId="33" xfId="1" applyNumberFormat="1" applyFont="1" applyFill="1" applyBorder="1" applyAlignment="1">
      <alignment horizontal="left" vertical="justify"/>
    </xf>
    <xf numFmtId="0" fontId="12" fillId="5" borderId="34" xfId="3" applyFont="1" applyFill="1" applyBorder="1" applyAlignment="1">
      <alignment horizontal="center"/>
    </xf>
    <xf numFmtId="164" fontId="12" fillId="5" borderId="34" xfId="1" applyFont="1" applyFill="1" applyBorder="1" applyAlignment="1">
      <alignment horizontal="center"/>
    </xf>
    <xf numFmtId="165" fontId="12" fillId="5" borderId="33" xfId="1" applyNumberFormat="1" applyFont="1" applyFill="1" applyBorder="1" applyAlignment="1">
      <alignment horizontal="left" vertical="justify"/>
    </xf>
    <xf numFmtId="165" fontId="12" fillId="2" borderId="36" xfId="1" applyNumberFormat="1" applyFont="1" applyFill="1" applyBorder="1" applyAlignment="1">
      <alignment horizontal="left" vertical="justify"/>
    </xf>
    <xf numFmtId="165" fontId="12" fillId="3" borderId="33" xfId="1" applyNumberFormat="1" applyFont="1" applyFill="1" applyBorder="1" applyAlignment="1">
      <alignment horizontal="left" vertical="justify"/>
    </xf>
    <xf numFmtId="0" fontId="13" fillId="3" borderId="34" xfId="2" applyNumberFormat="1" applyFont="1" applyFill="1" applyBorder="1" applyAlignment="1">
      <alignment horizontal="left"/>
    </xf>
    <xf numFmtId="164" fontId="11" fillId="0" borderId="50" xfId="1" applyFont="1" applyBorder="1" applyAlignment="1">
      <alignment horizontal="center" vertical="center" wrapText="1"/>
    </xf>
    <xf numFmtId="164" fontId="11" fillId="0" borderId="34" xfId="1" applyFont="1" applyBorder="1" applyAlignment="1">
      <alignment horizontal="center" vertical="center" wrapText="1"/>
    </xf>
    <xf numFmtId="0" fontId="14" fillId="2" borderId="34" xfId="2" applyNumberFormat="1" applyFont="1" applyFill="1" applyBorder="1" applyAlignment="1">
      <alignment horizontal="left"/>
    </xf>
    <xf numFmtId="0" fontId="13" fillId="2" borderId="34" xfId="2" applyNumberFormat="1" applyFont="1" applyFill="1" applyBorder="1" applyAlignment="1">
      <alignment horizontal="left"/>
    </xf>
    <xf numFmtId="49" fontId="12" fillId="2" borderId="33" xfId="2" quotePrefix="1" applyNumberFormat="1" applyFont="1" applyFill="1" applyBorder="1" applyAlignment="1">
      <alignment horizontal="center" vertical="justify"/>
    </xf>
    <xf numFmtId="0" fontId="15" fillId="2" borderId="34" xfId="2" applyNumberFormat="1" applyFont="1" applyFill="1" applyBorder="1" applyAlignment="1">
      <alignment horizontal="left"/>
    </xf>
    <xf numFmtId="0" fontId="12" fillId="2" borderId="34" xfId="2" applyNumberFormat="1" applyFont="1" applyFill="1" applyBorder="1" applyAlignment="1">
      <alignment horizontal="left"/>
    </xf>
    <xf numFmtId="0" fontId="13" fillId="2" borderId="34" xfId="2" applyNumberFormat="1" applyFont="1" applyFill="1" applyBorder="1"/>
    <xf numFmtId="0" fontId="12" fillId="2" borderId="34" xfId="2" applyNumberFormat="1" applyFont="1" applyFill="1" applyBorder="1" applyAlignment="1">
      <alignment horizontal="justify"/>
    </xf>
    <xf numFmtId="0" fontId="12" fillId="2" borderId="34" xfId="2" applyNumberFormat="1" applyFont="1" applyFill="1" applyBorder="1"/>
    <xf numFmtId="0" fontId="15" fillId="2" borderId="34" xfId="2" applyNumberFormat="1" applyFont="1" applyFill="1" applyBorder="1"/>
    <xf numFmtId="0" fontId="13" fillId="2" borderId="34" xfId="2" applyNumberFormat="1" applyFont="1" applyFill="1" applyBorder="1" applyAlignment="1">
      <alignment vertical="top"/>
    </xf>
    <xf numFmtId="164" fontId="12" fillId="2" borderId="34" xfId="2" applyFont="1" applyFill="1" applyBorder="1" applyAlignment="1">
      <alignment horizontal="center" vertical="top"/>
    </xf>
    <xf numFmtId="164" fontId="12" fillId="3" borderId="34" xfId="1" applyNumberFormat="1" applyFont="1" applyFill="1" applyBorder="1" applyAlignment="1">
      <alignment horizontal="center" vertical="top"/>
    </xf>
    <xf numFmtId="0" fontId="12" fillId="2" borderId="34" xfId="2" applyNumberFormat="1" applyFont="1" applyFill="1" applyBorder="1" applyAlignment="1">
      <alignment vertical="top" wrapText="1"/>
    </xf>
    <xf numFmtId="49" fontId="12" fillId="2" borderId="36" xfId="2" quotePrefix="1" applyNumberFormat="1" applyFont="1" applyFill="1" applyBorder="1" applyAlignment="1">
      <alignment horizontal="center" vertical="justify"/>
    </xf>
    <xf numFmtId="0" fontId="12" fillId="2" borderId="37" xfId="2" applyNumberFormat="1" applyFont="1" applyFill="1" applyBorder="1" applyAlignment="1">
      <alignment vertical="top" wrapText="1"/>
    </xf>
    <xf numFmtId="164" fontId="11" fillId="0" borderId="37" xfId="1" applyFont="1" applyBorder="1" applyAlignment="1">
      <alignment horizontal="center" vertical="center" wrapText="1"/>
    </xf>
    <xf numFmtId="164" fontId="11" fillId="0" borderId="42" xfId="1" applyFont="1" applyBorder="1" applyAlignment="1">
      <alignment horizontal="center" vertical="center" wrapText="1"/>
    </xf>
    <xf numFmtId="164" fontId="11" fillId="0" borderId="35" xfId="1" applyFont="1" applyBorder="1" applyAlignment="1">
      <alignment horizontal="center" vertical="center" wrapText="1"/>
    </xf>
    <xf numFmtId="0" fontId="12" fillId="2" borderId="34" xfId="2" quotePrefix="1" applyNumberFormat="1" applyFont="1" applyFill="1" applyBorder="1" applyAlignment="1">
      <alignment wrapText="1"/>
    </xf>
    <xf numFmtId="0" fontId="12" fillId="2" borderId="34" xfId="2" quotePrefix="1" applyNumberFormat="1" applyFont="1" applyFill="1" applyBorder="1" applyAlignment="1"/>
    <xf numFmtId="0" fontId="12" fillId="2" borderId="35" xfId="2" quotePrefix="1" applyNumberFormat="1" applyFont="1" applyFill="1" applyBorder="1" applyAlignment="1"/>
    <xf numFmtId="49" fontId="11" fillId="0" borderId="33" xfId="0" applyNumberFormat="1" applyFont="1" applyBorder="1" applyAlignment="1">
      <alignment horizontal="center" vertical="center"/>
    </xf>
    <xf numFmtId="0" fontId="11" fillId="0" borderId="34" xfId="0" applyFont="1" applyBorder="1" applyAlignment="1">
      <alignment horizontal="center" vertical="center"/>
    </xf>
    <xf numFmtId="164" fontId="11" fillId="0" borderId="34" xfId="0" applyNumberFormat="1" applyFont="1" applyBorder="1" applyAlignment="1">
      <alignment horizontal="center" vertical="center"/>
    </xf>
    <xf numFmtId="165" fontId="11" fillId="0" borderId="34" xfId="0" applyNumberFormat="1" applyFont="1" applyBorder="1" applyAlignment="1">
      <alignment horizontal="center" vertical="center"/>
    </xf>
    <xf numFmtId="0" fontId="11" fillId="0" borderId="35" xfId="0" applyFont="1" applyBorder="1" applyAlignment="1">
      <alignment horizontal="center" vertical="center"/>
    </xf>
    <xf numFmtId="0" fontId="13" fillId="2" borderId="34" xfId="2" applyNumberFormat="1" applyFont="1" applyFill="1" applyBorder="1" applyAlignment="1">
      <alignment horizontal="justify"/>
    </xf>
    <xf numFmtId="164" fontId="12" fillId="3" borderId="34" xfId="2" applyNumberFormat="1" applyFont="1" applyFill="1" applyBorder="1" applyAlignment="1">
      <alignment horizontal="center"/>
    </xf>
    <xf numFmtId="164" fontId="13" fillId="2" borderId="34" xfId="2" applyFont="1" applyFill="1" applyBorder="1" applyAlignment="1">
      <alignment horizontal="justify" vertical="top"/>
    </xf>
    <xf numFmtId="164" fontId="12" fillId="3" borderId="34" xfId="1" applyNumberFormat="1" applyFont="1" applyFill="1" applyBorder="1" applyAlignment="1">
      <alignment horizontal="right"/>
    </xf>
    <xf numFmtId="164" fontId="12" fillId="2" borderId="34" xfId="2" applyFont="1" applyFill="1" applyBorder="1" applyAlignment="1">
      <alignment horizontal="justify" vertical="top"/>
    </xf>
    <xf numFmtId="0" fontId="12" fillId="2" borderId="34" xfId="2" applyNumberFormat="1" applyFont="1" applyFill="1" applyBorder="1" applyAlignment="1">
      <alignment horizontal="justify" vertical="top" wrapText="1"/>
    </xf>
    <xf numFmtId="0" fontId="13" fillId="2" borderId="34" xfId="2" applyNumberFormat="1" applyFont="1" applyFill="1" applyBorder="1" applyAlignment="1">
      <alignment horizontal="justify" vertical="top"/>
    </xf>
    <xf numFmtId="0" fontId="12" fillId="2" borderId="34" xfId="2" quotePrefix="1" applyNumberFormat="1" applyFont="1" applyFill="1" applyBorder="1" applyAlignment="1">
      <alignment vertical="justify"/>
    </xf>
    <xf numFmtId="0" fontId="15" fillId="2" borderId="34" xfId="2" quotePrefix="1" applyNumberFormat="1" applyFont="1" applyFill="1" applyBorder="1" applyAlignment="1">
      <alignment horizontal="left" vertical="top"/>
    </xf>
    <xf numFmtId="49" fontId="12" fillId="2" borderId="33" xfId="2" applyNumberFormat="1" applyFont="1" applyFill="1" applyBorder="1" applyAlignment="1">
      <alignment horizontal="center"/>
    </xf>
    <xf numFmtId="0" fontId="12" fillId="2" borderId="34" xfId="2" applyNumberFormat="1" applyFont="1" applyFill="1" applyBorder="1" applyAlignment="1">
      <alignment horizontal="left" wrapText="1"/>
    </xf>
    <xf numFmtId="0" fontId="13" fillId="2" borderId="34" xfId="2" applyNumberFormat="1" applyFont="1" applyFill="1" applyBorder="1" applyAlignment="1">
      <alignment horizontal="left" vertical="top" wrapText="1"/>
    </xf>
    <xf numFmtId="0" fontId="12" fillId="2" borderId="34" xfId="2" quotePrefix="1" applyNumberFormat="1" applyFont="1" applyFill="1" applyBorder="1" applyAlignment="1">
      <alignment vertical="top" wrapText="1"/>
    </xf>
    <xf numFmtId="0" fontId="12" fillId="2" borderId="34" xfId="2" quotePrefix="1" applyNumberFormat="1" applyFont="1" applyFill="1" applyBorder="1" applyAlignment="1">
      <alignment vertical="top"/>
    </xf>
    <xf numFmtId="0" fontId="12" fillId="2" borderId="34" xfId="2" applyNumberFormat="1" applyFont="1" applyFill="1" applyBorder="1" applyAlignment="1">
      <alignment vertical="top"/>
    </xf>
    <xf numFmtId="0" fontId="12" fillId="2" borderId="34" xfId="2" applyNumberFormat="1" applyFont="1" applyFill="1" applyBorder="1" applyAlignment="1">
      <alignment horizontal="justify" vertical="top"/>
    </xf>
    <xf numFmtId="0" fontId="12" fillId="2" borderId="34" xfId="2" quotePrefix="1" applyNumberFormat="1" applyFont="1" applyFill="1" applyBorder="1" applyAlignment="1">
      <alignment horizontal="justify" vertical="top"/>
    </xf>
    <xf numFmtId="0" fontId="12" fillId="2" borderId="37" xfId="2" quotePrefix="1" applyNumberFormat="1" applyFont="1" applyFill="1" applyBorder="1" applyAlignment="1">
      <alignment horizontal="justify" vertical="top"/>
    </xf>
    <xf numFmtId="164" fontId="11" fillId="0" borderId="38" xfId="1" applyFont="1" applyBorder="1" applyAlignment="1">
      <alignment horizontal="center" vertical="center" wrapText="1"/>
    </xf>
    <xf numFmtId="49" fontId="3" fillId="3" borderId="36" xfId="0" applyNumberFormat="1" applyFont="1" applyFill="1" applyBorder="1" applyAlignment="1">
      <alignment horizontal="center" vertical="center"/>
    </xf>
    <xf numFmtId="0" fontId="3" fillId="3" borderId="37" xfId="0" applyFont="1" applyFill="1" applyBorder="1" applyAlignment="1">
      <alignment vertical="center" wrapText="1"/>
    </xf>
    <xf numFmtId="0" fontId="3" fillId="3" borderId="37" xfId="0" applyFont="1" applyFill="1" applyBorder="1" applyAlignment="1">
      <alignment horizontal="center" vertical="center"/>
    </xf>
    <xf numFmtId="164" fontId="3" fillId="3" borderId="37" xfId="0" applyNumberFormat="1" applyFont="1" applyFill="1" applyBorder="1" applyAlignment="1">
      <alignment horizontal="center" vertical="center"/>
    </xf>
    <xf numFmtId="164" fontId="11" fillId="3" borderId="38" xfId="1" applyFont="1" applyFill="1" applyBorder="1"/>
    <xf numFmtId="49" fontId="12" fillId="2" borderId="36" xfId="2" applyNumberFormat="1" applyFont="1" applyFill="1" applyBorder="1" applyAlignment="1">
      <alignment horizontal="center" vertical="top"/>
    </xf>
    <xf numFmtId="0" fontId="12" fillId="0" borderId="37" xfId="3" applyFont="1" applyFill="1" applyBorder="1" applyAlignment="1">
      <alignment horizontal="center"/>
    </xf>
    <xf numFmtId="164" fontId="11" fillId="0" borderId="37" xfId="1" applyFont="1" applyBorder="1" applyAlignment="1"/>
    <xf numFmtId="164" fontId="11" fillId="0" borderId="38" xfId="1" applyFont="1" applyBorder="1" applyAlignment="1"/>
    <xf numFmtId="164" fontId="12" fillId="5" borderId="34" xfId="2" applyNumberFormat="1" applyFont="1" applyFill="1" applyBorder="1" applyAlignment="1">
      <alignment horizontal="center"/>
    </xf>
    <xf numFmtId="164" fontId="11" fillId="5" borderId="34" xfId="1" applyFont="1" applyFill="1" applyBorder="1" applyAlignment="1">
      <alignment horizontal="center" vertical="center" wrapText="1"/>
    </xf>
    <xf numFmtId="164" fontId="11" fillId="5" borderId="35" xfId="1" applyFont="1" applyFill="1" applyBorder="1" applyAlignment="1">
      <alignment horizontal="center" vertical="center" wrapText="1"/>
    </xf>
    <xf numFmtId="165" fontId="12" fillId="2" borderId="34" xfId="1" applyNumberFormat="1" applyFont="1" applyFill="1" applyBorder="1" applyAlignment="1">
      <alignment horizontal="center" vertical="top"/>
    </xf>
    <xf numFmtId="164" fontId="11" fillId="0" borderId="34" xfId="1" applyFont="1" applyBorder="1" applyAlignment="1">
      <alignment horizontal="center" vertical="top" wrapText="1"/>
    </xf>
    <xf numFmtId="164" fontId="11" fillId="0" borderId="35" xfId="1" applyFont="1" applyBorder="1" applyAlignment="1">
      <alignment horizontal="center" vertical="top" wrapText="1"/>
    </xf>
    <xf numFmtId="49" fontId="12" fillId="5" borderId="33" xfId="2" applyNumberFormat="1" applyFont="1" applyFill="1" applyBorder="1" applyAlignment="1">
      <alignment horizontal="center"/>
    </xf>
    <xf numFmtId="0" fontId="13" fillId="5" borderId="34" xfId="2" applyNumberFormat="1" applyFont="1" applyFill="1" applyBorder="1" applyAlignment="1">
      <alignment horizontal="left" vertical="top"/>
    </xf>
    <xf numFmtId="0" fontId="13" fillId="2" borderId="28" xfId="2" applyNumberFormat="1" applyFont="1" applyFill="1" applyBorder="1" applyAlignment="1">
      <alignment horizontal="center"/>
    </xf>
    <xf numFmtId="164" fontId="11" fillId="0" borderId="28" xfId="1" applyFont="1" applyBorder="1" applyAlignment="1">
      <alignment horizontal="center" vertical="center" wrapText="1"/>
    </xf>
    <xf numFmtId="0" fontId="12" fillId="2" borderId="22" xfId="2" quotePrefix="1" applyNumberFormat="1" applyFont="1" applyFill="1" applyBorder="1" applyAlignment="1">
      <alignment vertical="top" wrapText="1"/>
    </xf>
    <xf numFmtId="0" fontId="12" fillId="2" borderId="22" xfId="2" quotePrefix="1" applyNumberFormat="1" applyFont="1" applyFill="1" applyBorder="1" applyAlignment="1">
      <alignment vertical="top"/>
    </xf>
    <xf numFmtId="0" fontId="12" fillId="2" borderId="23" xfId="2" quotePrefix="1" applyNumberFormat="1" applyFont="1" applyFill="1" applyBorder="1" applyAlignment="1">
      <alignment vertical="top"/>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20" fillId="0" borderId="0" xfId="0" applyNumberFormat="1" applyFont="1" applyAlignment="1">
      <alignment horizontal="center"/>
    </xf>
    <xf numFmtId="0" fontId="14" fillId="2" borderId="0" xfId="2" applyNumberFormat="1" applyFont="1" applyFill="1" applyBorder="1" applyAlignment="1">
      <alignment horizontal="left" wrapText="1"/>
    </xf>
    <xf numFmtId="0" fontId="14" fillId="2" borderId="0" xfId="2" applyNumberFormat="1" applyFont="1" applyFill="1" applyBorder="1" applyAlignment="1">
      <alignment horizontal="left"/>
    </xf>
    <xf numFmtId="0" fontId="14" fillId="2" borderId="20" xfId="2" applyNumberFormat="1" applyFont="1" applyFill="1" applyBorder="1" applyAlignment="1">
      <alignment horizontal="left"/>
    </xf>
    <xf numFmtId="0" fontId="12" fillId="2" borderId="0" xfId="2" applyNumberFormat="1" applyFont="1" applyFill="1" applyBorder="1" applyAlignment="1">
      <alignment horizontal="left" wrapText="1"/>
    </xf>
    <xf numFmtId="0" fontId="27" fillId="0" borderId="51" xfId="0" applyFont="1" applyBorder="1"/>
    <xf numFmtId="0" fontId="27" fillId="0" borderId="0" xfId="0" applyFont="1"/>
    <xf numFmtId="0" fontId="27" fillId="0" borderId="52" xfId="0" applyFont="1" applyBorder="1"/>
    <xf numFmtId="0" fontId="28" fillId="0" borderId="52" xfId="0" applyFont="1" applyBorder="1" applyAlignment="1">
      <alignment horizontal="center"/>
    </xf>
    <xf numFmtId="0" fontId="29" fillId="0" borderId="52" xfId="0" applyFont="1" applyBorder="1" applyAlignment="1">
      <alignment horizontal="center" vertical="top" wrapText="1"/>
    </xf>
    <xf numFmtId="0" fontId="27" fillId="0" borderId="0" xfId="0" applyFont="1" applyAlignment="1">
      <alignment vertical="center"/>
    </xf>
    <xf numFmtId="0" fontId="30" fillId="0" borderId="52" xfId="0" applyFont="1" applyBorder="1" applyAlignment="1">
      <alignment horizontal="center"/>
    </xf>
    <xf numFmtId="0" fontId="27" fillId="0" borderId="52" xfId="0" applyFont="1" applyBorder="1" applyAlignment="1">
      <alignment horizontal="center"/>
    </xf>
    <xf numFmtId="0" fontId="27" fillId="0" borderId="52" xfId="0" applyFont="1" applyBorder="1" applyAlignment="1">
      <alignment horizontal="center"/>
    </xf>
    <xf numFmtId="0" fontId="27" fillId="0" borderId="32" xfId="0" applyFont="1" applyBorder="1"/>
    <xf numFmtId="0" fontId="30" fillId="0" borderId="0" xfId="0" applyFont="1"/>
    <xf numFmtId="0" fontId="31" fillId="0" borderId="0" xfId="0" applyFont="1"/>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31</xdr:row>
      <xdr:rowOff>104775</xdr:rowOff>
    </xdr:from>
    <xdr:to>
      <xdr:col>0</xdr:col>
      <xdr:colOff>4238624</xdr:colOff>
      <xdr:row>32</xdr:row>
      <xdr:rowOff>752475</xdr:rowOff>
    </xdr:to>
    <xdr:pic>
      <xdr:nvPicPr>
        <xdr:cNvPr id="2"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31</xdr:row>
      <xdr:rowOff>104775</xdr:rowOff>
    </xdr:from>
    <xdr:to>
      <xdr:col>0</xdr:col>
      <xdr:colOff>4238624</xdr:colOff>
      <xdr:row>32</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31</xdr:row>
      <xdr:rowOff>104775</xdr:rowOff>
    </xdr:from>
    <xdr:to>
      <xdr:col>0</xdr:col>
      <xdr:colOff>4238624</xdr:colOff>
      <xdr:row>32</xdr:row>
      <xdr:rowOff>752475</xdr:rowOff>
    </xdr:to>
    <xdr:pic>
      <xdr:nvPicPr>
        <xdr:cNvPr id="4"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61</xdr:row>
      <xdr:rowOff>47625</xdr:rowOff>
    </xdr:from>
    <xdr:to>
      <xdr:col>6</xdr:col>
      <xdr:colOff>771525</xdr:colOff>
      <xdr:row>62</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tabSelected="1" view="pageBreakPreview" zoomScaleNormal="100" zoomScaleSheetLayoutView="100" workbookViewId="0">
      <selection activeCell="A7" sqref="A7"/>
    </sheetView>
  </sheetViews>
  <sheetFormatPr defaultRowHeight="14.25" x14ac:dyDescent="0.2"/>
  <cols>
    <col min="1" max="1" width="100.85546875" style="590" customWidth="1"/>
    <col min="2" max="16384" width="9.140625" style="590"/>
  </cols>
  <sheetData>
    <row r="1" spans="1:1" x14ac:dyDescent="0.2">
      <c r="A1" s="589"/>
    </row>
    <row r="2" spans="1:1" x14ac:dyDescent="0.2">
      <c r="A2" s="591"/>
    </row>
    <row r="3" spans="1:1" x14ac:dyDescent="0.2">
      <c r="A3" s="591"/>
    </row>
    <row r="4" spans="1:1" x14ac:dyDescent="0.2">
      <c r="A4" s="591"/>
    </row>
    <row r="5" spans="1:1" x14ac:dyDescent="0.2">
      <c r="A5" s="591"/>
    </row>
    <row r="6" spans="1:1" x14ac:dyDescent="0.2">
      <c r="A6" s="591"/>
    </row>
    <row r="7" spans="1:1" x14ac:dyDescent="0.2">
      <c r="A7" s="591"/>
    </row>
    <row r="8" spans="1:1" ht="27.75" x14ac:dyDescent="0.4">
      <c r="A8" s="592" t="s">
        <v>173</v>
      </c>
    </row>
    <row r="9" spans="1:1" x14ac:dyDescent="0.2">
      <c r="A9" s="591"/>
    </row>
    <row r="10" spans="1:1" x14ac:dyDescent="0.2">
      <c r="A10" s="591"/>
    </row>
    <row r="11" spans="1:1" x14ac:dyDescent="0.2">
      <c r="A11" s="591"/>
    </row>
    <row r="12" spans="1:1" x14ac:dyDescent="0.2">
      <c r="A12" s="591"/>
    </row>
    <row r="13" spans="1:1" x14ac:dyDescent="0.2">
      <c r="A13" s="591"/>
    </row>
    <row r="14" spans="1:1" s="594" customFormat="1" ht="63" customHeight="1" x14ac:dyDescent="0.25">
      <c r="A14" s="593" t="s">
        <v>517</v>
      </c>
    </row>
    <row r="15" spans="1:1" x14ac:dyDescent="0.2">
      <c r="A15" s="591"/>
    </row>
    <row r="16" spans="1:1" x14ac:dyDescent="0.2">
      <c r="A16" s="591"/>
    </row>
    <row r="17" spans="1:1" x14ac:dyDescent="0.2">
      <c r="A17" s="591"/>
    </row>
    <row r="18" spans="1:1" x14ac:dyDescent="0.2">
      <c r="A18" s="591"/>
    </row>
    <row r="19" spans="1:1" x14ac:dyDescent="0.2">
      <c r="A19" s="591"/>
    </row>
    <row r="20" spans="1:1" x14ac:dyDescent="0.2">
      <c r="A20" s="591"/>
    </row>
    <row r="21" spans="1:1" ht="15" x14ac:dyDescent="0.25">
      <c r="A21" s="595" t="s">
        <v>500</v>
      </c>
    </row>
    <row r="22" spans="1:1" ht="28.5" customHeight="1" x14ac:dyDescent="0.2">
      <c r="A22" s="596" t="s">
        <v>501</v>
      </c>
    </row>
    <row r="23" spans="1:1" ht="24.75" customHeight="1" x14ac:dyDescent="0.2">
      <c r="A23" s="596" t="s">
        <v>502</v>
      </c>
    </row>
    <row r="24" spans="1:1" ht="24.75" customHeight="1" x14ac:dyDescent="0.2">
      <c r="A24" s="596"/>
    </row>
    <row r="25" spans="1:1" ht="24.75" customHeight="1" x14ac:dyDescent="0.2">
      <c r="A25" s="596"/>
    </row>
    <row r="26" spans="1:1" x14ac:dyDescent="0.2">
      <c r="A26" s="591"/>
    </row>
    <row r="27" spans="1:1" x14ac:dyDescent="0.2">
      <c r="A27" s="591"/>
    </row>
    <row r="28" spans="1:1" x14ac:dyDescent="0.2">
      <c r="A28" s="591"/>
    </row>
    <row r="29" spans="1:1" x14ac:dyDescent="0.2">
      <c r="A29" s="591"/>
    </row>
    <row r="30" spans="1:1" x14ac:dyDescent="0.2">
      <c r="A30" s="591"/>
    </row>
    <row r="31" spans="1:1" ht="15" x14ac:dyDescent="0.25">
      <c r="A31" s="595" t="s">
        <v>179</v>
      </c>
    </row>
    <row r="32" spans="1:1" ht="15" customHeight="1" x14ac:dyDescent="0.2">
      <c r="A32" s="597"/>
    </row>
    <row r="33" spans="1:1" ht="55.5" customHeight="1" x14ac:dyDescent="0.2">
      <c r="A33" s="597"/>
    </row>
    <row r="34" spans="1:1" x14ac:dyDescent="0.2">
      <c r="A34" s="591"/>
    </row>
    <row r="35" spans="1:1" ht="15" thickBot="1" x14ac:dyDescent="0.25">
      <c r="A35" s="598"/>
    </row>
    <row r="37" spans="1:1" ht="15" x14ac:dyDescent="0.25">
      <c r="A37" s="599"/>
    </row>
    <row r="38" spans="1:1" ht="15" x14ac:dyDescent="0.25">
      <c r="A38" s="600"/>
    </row>
  </sheetData>
  <mergeCells count="1">
    <mergeCell ref="A32:A33"/>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B6" sqref="B6"/>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82" t="s">
        <v>518</v>
      </c>
      <c r="B1" s="582"/>
      <c r="C1" s="582"/>
    </row>
    <row r="2" spans="1:6" ht="15.75" x14ac:dyDescent="0.25">
      <c r="A2" s="583" t="s">
        <v>75</v>
      </c>
      <c r="B2" s="583"/>
      <c r="C2" s="583"/>
    </row>
    <row r="3" spans="1:6" ht="15.75" thickBot="1" x14ac:dyDescent="0.3">
      <c r="A3" s="1"/>
      <c r="B3" s="2"/>
      <c r="C3" s="3"/>
    </row>
    <row r="4" spans="1:6" ht="20.100000000000001" customHeight="1" thickTop="1" thickBot="1" x14ac:dyDescent="0.35">
      <c r="A4" s="4" t="s">
        <v>76</v>
      </c>
      <c r="B4" s="5" t="s">
        <v>77</v>
      </c>
      <c r="C4" s="6" t="s">
        <v>78</v>
      </c>
    </row>
    <row r="5" spans="1:6" ht="24.95" customHeight="1" thickTop="1" x14ac:dyDescent="0.25">
      <c r="A5" s="7" t="s">
        <v>79</v>
      </c>
      <c r="B5" s="8" t="s">
        <v>18</v>
      </c>
      <c r="C5" s="9">
        <f>Boq!G52</f>
        <v>0</v>
      </c>
    </row>
    <row r="6" spans="1:6" ht="24.95" customHeight="1" x14ac:dyDescent="0.25">
      <c r="A6" s="10" t="s">
        <v>80</v>
      </c>
      <c r="B6" s="11" t="s">
        <v>81</v>
      </c>
      <c r="C6" s="12">
        <f>Boq!G88</f>
        <v>0</v>
      </c>
    </row>
    <row r="7" spans="1:6" ht="24.95" customHeight="1" x14ac:dyDescent="0.25">
      <c r="A7" s="10" t="s">
        <v>82</v>
      </c>
      <c r="B7" s="11" t="s">
        <v>83</v>
      </c>
      <c r="C7" s="12">
        <f>Boq!G323</f>
        <v>0</v>
      </c>
    </row>
    <row r="8" spans="1:6" ht="24.95" customHeight="1" x14ac:dyDescent="0.25">
      <c r="A8" s="10" t="s">
        <v>84</v>
      </c>
      <c r="B8" s="11" t="s">
        <v>85</v>
      </c>
      <c r="C8" s="12">
        <f>Boq!G405</f>
        <v>0</v>
      </c>
    </row>
    <row r="9" spans="1:6" ht="24.95" customHeight="1" x14ac:dyDescent="0.25">
      <c r="A9" s="10" t="s">
        <v>86</v>
      </c>
      <c r="B9" s="11" t="s">
        <v>87</v>
      </c>
      <c r="C9" s="12">
        <f>Boq!G490</f>
        <v>0</v>
      </c>
    </row>
    <row r="10" spans="1:6" ht="24.95" customHeight="1" x14ac:dyDescent="0.25">
      <c r="A10" s="10" t="s">
        <v>88</v>
      </c>
      <c r="B10" s="11" t="s">
        <v>90</v>
      </c>
      <c r="C10" s="12">
        <f>Boq!G529</f>
        <v>0</v>
      </c>
    </row>
    <row r="11" spans="1:6" ht="24.95" customHeight="1" x14ac:dyDescent="0.25">
      <c r="A11" s="10" t="s">
        <v>89</v>
      </c>
      <c r="B11" s="11" t="s">
        <v>92</v>
      </c>
      <c r="C11" s="12">
        <f>Boq!G560</f>
        <v>0</v>
      </c>
    </row>
    <row r="12" spans="1:6" ht="24.95" customHeight="1" x14ac:dyDescent="0.25">
      <c r="A12" s="10" t="s">
        <v>91</v>
      </c>
      <c r="B12" s="11" t="s">
        <v>94</v>
      </c>
      <c r="C12" s="12">
        <f>Boq!G600</f>
        <v>0</v>
      </c>
    </row>
    <row r="13" spans="1:6" ht="24.95" customHeight="1" x14ac:dyDescent="0.25">
      <c r="A13" s="10" t="s">
        <v>93</v>
      </c>
      <c r="B13" s="11" t="s">
        <v>96</v>
      </c>
      <c r="C13" s="12">
        <f>Boq!G639</f>
        <v>0</v>
      </c>
    </row>
    <row r="14" spans="1:6" ht="24.95" customHeight="1" x14ac:dyDescent="0.25">
      <c r="A14" s="10" t="s">
        <v>95</v>
      </c>
      <c r="B14" s="11" t="s">
        <v>98</v>
      </c>
      <c r="C14" s="12">
        <f>Boq!G730</f>
        <v>0</v>
      </c>
    </row>
    <row r="15" spans="1:6" ht="24.95" customHeight="1" x14ac:dyDescent="0.25">
      <c r="A15" s="10" t="s">
        <v>97</v>
      </c>
      <c r="B15" s="11" t="s">
        <v>99</v>
      </c>
      <c r="C15" s="12">
        <f>Boq!G828</f>
        <v>0</v>
      </c>
    </row>
    <row r="16" spans="1:6" ht="24.95" customHeight="1" x14ac:dyDescent="0.25">
      <c r="A16" s="10" t="s">
        <v>414</v>
      </c>
      <c r="B16" s="11" t="s">
        <v>415</v>
      </c>
      <c r="C16" s="12"/>
      <c r="F16" s="53"/>
    </row>
    <row r="17" spans="1:6" ht="24.95" customHeight="1" x14ac:dyDescent="0.25">
      <c r="A17" s="10" t="s">
        <v>446</v>
      </c>
      <c r="B17" s="11" t="s">
        <v>448</v>
      </c>
      <c r="C17" s="12"/>
      <c r="F17" s="53">
        <f>C21/F19</f>
        <v>0</v>
      </c>
    </row>
    <row r="18" spans="1:6" ht="24.95" customHeight="1" x14ac:dyDescent="0.25">
      <c r="A18" s="10" t="s">
        <v>447</v>
      </c>
      <c r="B18" s="11" t="s">
        <v>449</v>
      </c>
      <c r="C18" s="12">
        <f>-Boq!G992</f>
        <v>0</v>
      </c>
    </row>
    <row r="19" spans="1:6" ht="24.95" customHeight="1" x14ac:dyDescent="0.25">
      <c r="A19" s="13"/>
      <c r="B19" s="14"/>
      <c r="C19" s="15"/>
      <c r="F19">
        <f>107*2*10.764</f>
        <v>2303.4959999999996</v>
      </c>
    </row>
    <row r="20" spans="1:6" ht="24.95" customHeight="1" thickBot="1" x14ac:dyDescent="0.3">
      <c r="A20" s="16"/>
      <c r="B20" s="17"/>
      <c r="C20" s="18"/>
      <c r="F20" s="53">
        <f>C21*3%</f>
        <v>0</v>
      </c>
    </row>
    <row r="21" spans="1:6" ht="24.95" customHeight="1" thickTop="1" thickBot="1" x14ac:dyDescent="0.3">
      <c r="A21" s="19"/>
      <c r="B21" s="20" t="s">
        <v>410</v>
      </c>
      <c r="C21" s="21">
        <f>SUM(C5:C18)</f>
        <v>0</v>
      </c>
      <c r="F21" s="53">
        <f>C21*0.05</f>
        <v>0</v>
      </c>
    </row>
    <row r="22" spans="1:6" ht="24.95" customHeight="1" thickTop="1" thickBot="1" x14ac:dyDescent="0.3">
      <c r="A22" s="19"/>
      <c r="B22" s="20" t="s">
        <v>411</v>
      </c>
      <c r="C22" s="21">
        <f>C21*6%</f>
        <v>0</v>
      </c>
    </row>
    <row r="23" spans="1:6" ht="31.5" customHeight="1" thickTop="1" thickBot="1" x14ac:dyDescent="0.3">
      <c r="A23" s="19"/>
      <c r="B23" s="20" t="s">
        <v>412</v>
      </c>
      <c r="C23" s="21">
        <f>C21+C22</f>
        <v>0</v>
      </c>
    </row>
    <row r="24" spans="1:6" ht="15.75" thickTop="1" x14ac:dyDescent="0.25"/>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2"/>
  <sheetViews>
    <sheetView view="pageBreakPreview" topLeftCell="A31" zoomScaleNormal="100" zoomScaleSheetLayoutView="100" workbookViewId="0">
      <selection activeCell="B37" sqref="B37"/>
    </sheetView>
  </sheetViews>
  <sheetFormatPr defaultRowHeight="12" x14ac:dyDescent="0.2"/>
  <cols>
    <col min="1" max="1" width="5.140625" style="38" customWidth="1"/>
    <col min="2" max="2" width="39.140625" style="22" customWidth="1"/>
    <col min="3" max="3" width="4.7109375" style="23" customWidth="1"/>
    <col min="4" max="4" width="8.140625" style="24" customWidth="1"/>
    <col min="5" max="5" width="11.85546875" style="39" customWidth="1"/>
    <col min="6" max="6" width="11.5703125" style="25" customWidth="1"/>
    <col min="7" max="7" width="12.42578125" style="25" customWidth="1"/>
    <col min="8" max="8" width="4.5703125" style="22" customWidth="1"/>
    <col min="9" max="9" width="13.5703125" style="22" customWidth="1"/>
    <col min="10" max="10" width="9.140625" style="22" customWidth="1"/>
    <col min="11" max="11" width="9" style="22" customWidth="1"/>
    <col min="12" max="12" width="9.42578125" style="22" customWidth="1"/>
    <col min="13" max="13" width="11.28515625" style="22" customWidth="1"/>
    <col min="14" max="14" width="9.28515625" style="22" customWidth="1"/>
    <col min="15" max="15" width="7.7109375" style="22" customWidth="1"/>
    <col min="16" max="16384" width="9.140625" style="22"/>
  </cols>
  <sheetData>
    <row r="1" spans="1:10" s="34" customFormat="1" ht="18" customHeight="1" x14ac:dyDescent="0.25">
      <c r="A1" s="584" t="s">
        <v>516</v>
      </c>
      <c r="B1" s="584"/>
      <c r="C1" s="584"/>
      <c r="D1" s="584"/>
      <c r="E1" s="584"/>
      <c r="F1" s="584"/>
      <c r="G1" s="584"/>
    </row>
    <row r="2" spans="1:10" ht="12.75" thickBot="1" x14ac:dyDescent="0.25"/>
    <row r="3" spans="1:10" s="26" customFormat="1" ht="24.75" thickBot="1" x14ac:dyDescent="0.3">
      <c r="A3" s="147" t="s">
        <v>0</v>
      </c>
      <c r="B3" s="148" t="s">
        <v>1</v>
      </c>
      <c r="C3" s="148" t="s">
        <v>2</v>
      </c>
      <c r="D3" s="149" t="s">
        <v>3</v>
      </c>
      <c r="E3" s="150" t="s">
        <v>4</v>
      </c>
      <c r="F3" s="151" t="s">
        <v>5</v>
      </c>
      <c r="G3" s="152" t="s">
        <v>6</v>
      </c>
    </row>
    <row r="4" spans="1:10" s="26" customFormat="1" x14ac:dyDescent="0.2">
      <c r="A4" s="323"/>
      <c r="B4" s="504" t="s">
        <v>17</v>
      </c>
      <c r="C4" s="355"/>
      <c r="D4" s="356"/>
      <c r="E4" s="327"/>
      <c r="F4" s="513"/>
      <c r="G4" s="71"/>
      <c r="I4" s="46"/>
      <c r="J4" s="45"/>
    </row>
    <row r="5" spans="1:10" s="26" customFormat="1" x14ac:dyDescent="0.2">
      <c r="A5" s="177"/>
      <c r="B5" s="505" t="s">
        <v>18</v>
      </c>
      <c r="C5" s="353"/>
      <c r="D5" s="354"/>
      <c r="E5" s="181"/>
      <c r="F5" s="514"/>
      <c r="G5" s="71"/>
    </row>
    <row r="6" spans="1:10" s="26" customFormat="1" x14ac:dyDescent="0.2">
      <c r="A6" s="177"/>
      <c r="B6" s="515"/>
      <c r="C6" s="353"/>
      <c r="D6" s="354"/>
      <c r="E6" s="181"/>
      <c r="F6" s="514"/>
      <c r="G6" s="71"/>
    </row>
    <row r="7" spans="1:10" s="26" customFormat="1" x14ac:dyDescent="0.2">
      <c r="A7" s="177">
        <v>1.1000000000000001</v>
      </c>
      <c r="B7" s="516" t="s">
        <v>19</v>
      </c>
      <c r="C7" s="353"/>
      <c r="D7" s="354"/>
      <c r="E7" s="181"/>
      <c r="F7" s="514"/>
      <c r="G7" s="71"/>
    </row>
    <row r="8" spans="1:10" s="26" customFormat="1" x14ac:dyDescent="0.2">
      <c r="A8" s="517" t="s">
        <v>7</v>
      </c>
      <c r="B8" s="518" t="s">
        <v>20</v>
      </c>
      <c r="C8" s="353"/>
      <c r="D8" s="354"/>
      <c r="E8" s="181"/>
      <c r="F8" s="514"/>
      <c r="G8" s="71"/>
    </row>
    <row r="9" spans="1:10" s="26" customFormat="1" x14ac:dyDescent="0.2">
      <c r="A9" s="177"/>
      <c r="B9" s="519" t="s">
        <v>21</v>
      </c>
      <c r="C9" s="353"/>
      <c r="D9" s="354"/>
      <c r="E9" s="181"/>
      <c r="F9" s="514"/>
      <c r="G9" s="71"/>
    </row>
    <row r="10" spans="1:10" s="26" customFormat="1" x14ac:dyDescent="0.2">
      <c r="A10" s="177"/>
      <c r="B10" s="519" t="s">
        <v>22</v>
      </c>
      <c r="C10" s="353"/>
      <c r="D10" s="354"/>
      <c r="E10" s="181"/>
      <c r="F10" s="514"/>
      <c r="G10" s="71"/>
    </row>
    <row r="11" spans="1:10" s="26" customFormat="1" x14ac:dyDescent="0.2">
      <c r="A11" s="177"/>
      <c r="B11" s="519" t="s">
        <v>23</v>
      </c>
      <c r="C11" s="353"/>
      <c r="D11" s="354"/>
      <c r="E11" s="181"/>
      <c r="F11" s="514"/>
      <c r="G11" s="71"/>
    </row>
    <row r="12" spans="1:10" s="26" customFormat="1" x14ac:dyDescent="0.2">
      <c r="A12" s="177"/>
      <c r="B12" s="519" t="s">
        <v>24</v>
      </c>
      <c r="C12" s="353"/>
      <c r="D12" s="354"/>
      <c r="E12" s="181"/>
      <c r="F12" s="514"/>
      <c r="G12" s="71"/>
    </row>
    <row r="13" spans="1:10" s="26" customFormat="1" x14ac:dyDescent="0.2">
      <c r="A13" s="177"/>
      <c r="B13" s="519" t="s">
        <v>21</v>
      </c>
      <c r="C13" s="353"/>
      <c r="D13" s="354"/>
      <c r="E13" s="181"/>
      <c r="F13" s="514"/>
      <c r="G13" s="71"/>
    </row>
    <row r="14" spans="1:10" s="26" customFormat="1" x14ac:dyDescent="0.2">
      <c r="A14" s="177"/>
      <c r="B14" s="519" t="s">
        <v>25</v>
      </c>
      <c r="C14" s="353"/>
      <c r="D14" s="354"/>
      <c r="E14" s="181"/>
      <c r="F14" s="514"/>
      <c r="G14" s="71"/>
    </row>
    <row r="15" spans="1:10" s="26" customFormat="1" x14ac:dyDescent="0.2">
      <c r="A15" s="177"/>
      <c r="B15" s="519" t="s">
        <v>26</v>
      </c>
      <c r="C15" s="353"/>
      <c r="D15" s="354"/>
      <c r="E15" s="181"/>
      <c r="F15" s="514"/>
      <c r="G15" s="71"/>
    </row>
    <row r="16" spans="1:10" s="26" customFormat="1" x14ac:dyDescent="0.2">
      <c r="A16" s="177"/>
      <c r="B16" s="519" t="s">
        <v>27</v>
      </c>
      <c r="C16" s="353"/>
      <c r="D16" s="354"/>
      <c r="E16" s="181"/>
      <c r="F16" s="514"/>
      <c r="G16" s="71"/>
    </row>
    <row r="17" spans="1:7" s="26" customFormat="1" x14ac:dyDescent="0.2">
      <c r="A17" s="177"/>
      <c r="B17" s="519" t="s">
        <v>28</v>
      </c>
      <c r="C17" s="353"/>
      <c r="D17" s="354"/>
      <c r="E17" s="181"/>
      <c r="F17" s="514"/>
      <c r="G17" s="71"/>
    </row>
    <row r="18" spans="1:7" s="26" customFormat="1" x14ac:dyDescent="0.2">
      <c r="A18" s="177"/>
      <c r="B18" s="519" t="s">
        <v>29</v>
      </c>
      <c r="C18" s="353"/>
      <c r="D18" s="354"/>
      <c r="E18" s="181"/>
      <c r="F18" s="514"/>
      <c r="G18" s="71"/>
    </row>
    <row r="19" spans="1:7" s="26" customFormat="1" x14ac:dyDescent="0.2">
      <c r="A19" s="177"/>
      <c r="B19" s="519" t="s">
        <v>30</v>
      </c>
      <c r="C19" s="353"/>
      <c r="D19" s="354"/>
      <c r="E19" s="181"/>
      <c r="F19" s="514"/>
      <c r="G19" s="71"/>
    </row>
    <row r="20" spans="1:7" s="26" customFormat="1" x14ac:dyDescent="0.2">
      <c r="A20" s="177"/>
      <c r="B20" s="519"/>
      <c r="C20" s="353"/>
      <c r="D20" s="354"/>
      <c r="E20" s="181"/>
      <c r="F20" s="514"/>
      <c r="G20" s="71"/>
    </row>
    <row r="21" spans="1:7" s="26" customFormat="1" x14ac:dyDescent="0.2">
      <c r="A21" s="517">
        <v>1.2</v>
      </c>
      <c r="B21" s="520" t="s">
        <v>31</v>
      </c>
      <c r="C21" s="322"/>
      <c r="D21" s="180"/>
      <c r="E21" s="181"/>
      <c r="F21" s="514"/>
      <c r="G21" s="71"/>
    </row>
    <row r="22" spans="1:7" s="26" customFormat="1" ht="48.75" customHeight="1" x14ac:dyDescent="0.2">
      <c r="A22" s="177" t="s">
        <v>7</v>
      </c>
      <c r="B22" s="521" t="s">
        <v>243</v>
      </c>
      <c r="C22" s="322" t="s">
        <v>0</v>
      </c>
      <c r="D22" s="180">
        <v>1</v>
      </c>
      <c r="E22" s="181"/>
      <c r="F22" s="182"/>
      <c r="G22" s="75">
        <f t="shared" ref="G22:G32" si="0">(D22*E22)+(D22*F22)</f>
        <v>0</v>
      </c>
    </row>
    <row r="23" spans="1:7" s="26" customFormat="1" x14ac:dyDescent="0.2">
      <c r="A23" s="517"/>
      <c r="B23" s="521"/>
      <c r="C23" s="322"/>
      <c r="D23" s="180"/>
      <c r="E23" s="181"/>
      <c r="F23" s="182"/>
      <c r="G23" s="75">
        <f t="shared" si="0"/>
        <v>0</v>
      </c>
    </row>
    <row r="24" spans="1:7" s="26" customFormat="1" x14ac:dyDescent="0.2">
      <c r="A24" s="177">
        <v>1.3</v>
      </c>
      <c r="B24" s="520" t="s">
        <v>32</v>
      </c>
      <c r="C24" s="322"/>
      <c r="D24" s="180"/>
      <c r="E24" s="181"/>
      <c r="F24" s="182"/>
      <c r="G24" s="75">
        <f t="shared" si="0"/>
        <v>0</v>
      </c>
    </row>
    <row r="25" spans="1:7" s="26" customFormat="1" x14ac:dyDescent="0.2">
      <c r="A25" s="177" t="s">
        <v>7</v>
      </c>
      <c r="B25" s="522" t="s">
        <v>33</v>
      </c>
      <c r="C25" s="322" t="s">
        <v>34</v>
      </c>
      <c r="D25" s="180">
        <v>1</v>
      </c>
      <c r="E25" s="181"/>
      <c r="F25" s="182"/>
      <c r="G25" s="75">
        <f t="shared" si="0"/>
        <v>0</v>
      </c>
    </row>
    <row r="26" spans="1:7" s="26" customFormat="1" x14ac:dyDescent="0.2">
      <c r="A26" s="177"/>
      <c r="B26" s="522"/>
      <c r="C26" s="322"/>
      <c r="D26" s="180"/>
      <c r="E26" s="181"/>
      <c r="F26" s="182"/>
      <c r="G26" s="75">
        <f t="shared" si="0"/>
        <v>0</v>
      </c>
    </row>
    <row r="27" spans="1:7" s="26" customFormat="1" x14ac:dyDescent="0.2">
      <c r="A27" s="177" t="s">
        <v>174</v>
      </c>
      <c r="B27" s="523" t="s">
        <v>175</v>
      </c>
      <c r="C27" s="322"/>
      <c r="D27" s="180"/>
      <c r="E27" s="181"/>
      <c r="F27" s="182"/>
      <c r="G27" s="75">
        <f t="shared" si="0"/>
        <v>0</v>
      </c>
    </row>
    <row r="28" spans="1:7" s="26" customFormat="1" ht="39.75" customHeight="1" x14ac:dyDescent="0.2">
      <c r="A28" s="177" t="s">
        <v>7</v>
      </c>
      <c r="B28" s="269" t="s">
        <v>283</v>
      </c>
      <c r="C28" s="322" t="s">
        <v>0</v>
      </c>
      <c r="D28" s="180">
        <v>1</v>
      </c>
      <c r="E28" s="181"/>
      <c r="F28" s="182"/>
      <c r="G28" s="75">
        <f t="shared" si="0"/>
        <v>0</v>
      </c>
    </row>
    <row r="29" spans="1:7" s="26" customFormat="1" x14ac:dyDescent="0.2">
      <c r="A29" s="177"/>
      <c r="B29" s="522"/>
      <c r="C29" s="322"/>
      <c r="D29" s="180"/>
      <c r="E29" s="181"/>
      <c r="F29" s="182"/>
      <c r="G29" s="75"/>
    </row>
    <row r="30" spans="1:7" s="26" customFormat="1" x14ac:dyDescent="0.2">
      <c r="A30" s="343" t="s">
        <v>188</v>
      </c>
      <c r="B30" s="524" t="s">
        <v>35</v>
      </c>
      <c r="C30" s="525"/>
      <c r="D30" s="526"/>
      <c r="E30" s="181"/>
      <c r="F30" s="182"/>
      <c r="G30" s="75">
        <f t="shared" si="0"/>
        <v>0</v>
      </c>
    </row>
    <row r="31" spans="1:7" s="26" customFormat="1" ht="27.75" customHeight="1" x14ac:dyDescent="0.2">
      <c r="A31" s="177" t="s">
        <v>7</v>
      </c>
      <c r="B31" s="527" t="s">
        <v>36</v>
      </c>
      <c r="C31" s="322" t="s">
        <v>0</v>
      </c>
      <c r="D31" s="180">
        <v>1</v>
      </c>
      <c r="E31" s="181"/>
      <c r="F31" s="182"/>
      <c r="G31" s="75">
        <f t="shared" si="0"/>
        <v>0</v>
      </c>
    </row>
    <row r="32" spans="1:7" s="26" customFormat="1" x14ac:dyDescent="0.2">
      <c r="A32" s="517"/>
      <c r="B32" s="527"/>
      <c r="C32" s="322"/>
      <c r="D32" s="180"/>
      <c r="E32" s="181"/>
      <c r="F32" s="514"/>
      <c r="G32" s="75">
        <f t="shared" si="0"/>
        <v>0</v>
      </c>
    </row>
    <row r="33" spans="1:7" s="26" customFormat="1" x14ac:dyDescent="0.2">
      <c r="A33" s="517"/>
      <c r="B33" s="527"/>
      <c r="C33" s="322"/>
      <c r="D33" s="180"/>
      <c r="E33" s="181"/>
      <c r="F33" s="514"/>
      <c r="G33" s="71"/>
    </row>
    <row r="34" spans="1:7" s="26" customFormat="1" x14ac:dyDescent="0.2">
      <c r="A34" s="517"/>
      <c r="B34" s="527"/>
      <c r="C34" s="322"/>
      <c r="D34" s="180"/>
      <c r="E34" s="181"/>
      <c r="F34" s="514"/>
      <c r="G34" s="71"/>
    </row>
    <row r="35" spans="1:7" s="26" customFormat="1" x14ac:dyDescent="0.2">
      <c r="A35" s="517"/>
      <c r="B35" s="527"/>
      <c r="C35" s="322"/>
      <c r="D35" s="180"/>
      <c r="E35" s="181"/>
      <c r="F35" s="514"/>
      <c r="G35" s="71"/>
    </row>
    <row r="36" spans="1:7" s="26" customFormat="1" x14ac:dyDescent="0.2">
      <c r="A36" s="517"/>
      <c r="B36" s="527"/>
      <c r="C36" s="322"/>
      <c r="D36" s="180"/>
      <c r="E36" s="181"/>
      <c r="F36" s="514"/>
      <c r="G36" s="71"/>
    </row>
    <row r="37" spans="1:7" s="26" customFormat="1" x14ac:dyDescent="0.2">
      <c r="A37" s="517"/>
      <c r="B37" s="527"/>
      <c r="C37" s="322"/>
      <c r="D37" s="180"/>
      <c r="E37" s="181"/>
      <c r="F37" s="514"/>
      <c r="G37" s="71"/>
    </row>
    <row r="38" spans="1:7" s="26" customFormat="1" x14ac:dyDescent="0.2">
      <c r="A38" s="517"/>
      <c r="B38" s="527"/>
      <c r="C38" s="322"/>
      <c r="D38" s="180"/>
      <c r="E38" s="181"/>
      <c r="F38" s="514"/>
      <c r="G38" s="71"/>
    </row>
    <row r="39" spans="1:7" s="26" customFormat="1" x14ac:dyDescent="0.2">
      <c r="A39" s="517"/>
      <c r="B39" s="527"/>
      <c r="C39" s="322"/>
      <c r="D39" s="180"/>
      <c r="E39" s="181"/>
      <c r="F39" s="514"/>
      <c r="G39" s="71"/>
    </row>
    <row r="40" spans="1:7" s="26" customFormat="1" x14ac:dyDescent="0.2">
      <c r="A40" s="517"/>
      <c r="B40" s="527"/>
      <c r="C40" s="322"/>
      <c r="D40" s="180"/>
      <c r="E40" s="181"/>
      <c r="F40" s="514"/>
      <c r="G40" s="71"/>
    </row>
    <row r="41" spans="1:7" s="26" customFormat="1" x14ac:dyDescent="0.2">
      <c r="A41" s="517"/>
      <c r="B41" s="527"/>
      <c r="C41" s="322"/>
      <c r="D41" s="180"/>
      <c r="E41" s="181"/>
      <c r="F41" s="514"/>
      <c r="G41" s="71"/>
    </row>
    <row r="42" spans="1:7" s="26" customFormat="1" x14ac:dyDescent="0.2">
      <c r="A42" s="517"/>
      <c r="B42" s="527"/>
      <c r="C42" s="322"/>
      <c r="D42" s="180"/>
      <c r="E42" s="181"/>
      <c r="F42" s="514"/>
      <c r="G42" s="71"/>
    </row>
    <row r="43" spans="1:7" s="26" customFormat="1" x14ac:dyDescent="0.2">
      <c r="A43" s="517"/>
      <c r="B43" s="527"/>
      <c r="C43" s="322"/>
      <c r="D43" s="180"/>
      <c r="E43" s="181"/>
      <c r="F43" s="514"/>
      <c r="G43" s="71"/>
    </row>
    <row r="44" spans="1:7" s="26" customFormat="1" x14ac:dyDescent="0.2">
      <c r="A44" s="517"/>
      <c r="B44" s="527"/>
      <c r="C44" s="322"/>
      <c r="D44" s="180"/>
      <c r="E44" s="181"/>
      <c r="F44" s="514"/>
      <c r="G44" s="71"/>
    </row>
    <row r="45" spans="1:7" s="26" customFormat="1" x14ac:dyDescent="0.2">
      <c r="A45" s="517"/>
      <c r="B45" s="527"/>
      <c r="C45" s="322"/>
      <c r="D45" s="180"/>
      <c r="E45" s="181"/>
      <c r="F45" s="514"/>
      <c r="G45" s="71"/>
    </row>
    <row r="46" spans="1:7" s="26" customFormat="1" x14ac:dyDescent="0.2">
      <c r="A46" s="517"/>
      <c r="B46" s="527"/>
      <c r="C46" s="322"/>
      <c r="D46" s="180"/>
      <c r="E46" s="181"/>
      <c r="F46" s="514"/>
      <c r="G46" s="71"/>
    </row>
    <row r="47" spans="1:7" s="26" customFormat="1" x14ac:dyDescent="0.2">
      <c r="A47" s="517"/>
      <c r="B47" s="527"/>
      <c r="C47" s="322"/>
      <c r="D47" s="180"/>
      <c r="E47" s="181"/>
      <c r="F47" s="514"/>
      <c r="G47" s="71"/>
    </row>
    <row r="48" spans="1:7" s="26" customFormat="1" x14ac:dyDescent="0.2">
      <c r="A48" s="517"/>
      <c r="B48" s="527"/>
      <c r="C48" s="322"/>
      <c r="D48" s="180"/>
      <c r="E48" s="181"/>
      <c r="F48" s="514"/>
      <c r="G48" s="71"/>
    </row>
    <row r="49" spans="1:9" s="26" customFormat="1" x14ac:dyDescent="0.2">
      <c r="A49" s="517"/>
      <c r="B49" s="527"/>
      <c r="C49" s="322"/>
      <c r="D49" s="180"/>
      <c r="E49" s="181"/>
      <c r="F49" s="514"/>
      <c r="G49" s="71"/>
    </row>
    <row r="50" spans="1:9" s="26" customFormat="1" ht="12.75" thickBot="1" x14ac:dyDescent="0.25">
      <c r="A50" s="528"/>
      <c r="B50" s="529"/>
      <c r="C50" s="330"/>
      <c r="D50" s="331"/>
      <c r="E50" s="199"/>
      <c r="F50" s="530"/>
      <c r="G50" s="71"/>
    </row>
    <row r="51" spans="1:9" s="26" customFormat="1" x14ac:dyDescent="0.2">
      <c r="A51" s="153"/>
      <c r="B51" s="154" t="s">
        <v>37</v>
      </c>
      <c r="C51" s="155"/>
      <c r="D51" s="156"/>
      <c r="E51" s="157"/>
      <c r="F51" s="164"/>
      <c r="G51" s="158"/>
    </row>
    <row r="52" spans="1:9" s="26" customFormat="1" ht="12.75" thickBot="1" x14ac:dyDescent="0.25">
      <c r="A52" s="159"/>
      <c r="B52" s="142" t="s">
        <v>38</v>
      </c>
      <c r="C52" s="160"/>
      <c r="D52" s="161"/>
      <c r="E52" s="162"/>
      <c r="F52" s="165"/>
      <c r="G52" s="163">
        <f>SUM(G22:G51)</f>
        <v>0</v>
      </c>
    </row>
    <row r="53" spans="1:9" s="26" customFormat="1" x14ac:dyDescent="0.2">
      <c r="A53" s="323"/>
      <c r="B53" s="324"/>
      <c r="C53" s="429"/>
      <c r="D53" s="326"/>
      <c r="E53" s="327"/>
      <c r="F53" s="513"/>
      <c r="G53" s="531"/>
    </row>
    <row r="54" spans="1:9" s="26" customFormat="1" x14ac:dyDescent="0.2">
      <c r="A54" s="177"/>
      <c r="B54" s="505" t="s">
        <v>39</v>
      </c>
      <c r="C54" s="353"/>
      <c r="D54" s="354"/>
      <c r="E54" s="181"/>
      <c r="F54" s="514"/>
      <c r="G54" s="532"/>
    </row>
    <row r="55" spans="1:9" s="26" customFormat="1" x14ac:dyDescent="0.2">
      <c r="A55" s="177"/>
      <c r="B55" s="505" t="s">
        <v>40</v>
      </c>
      <c r="C55" s="353"/>
      <c r="D55" s="354"/>
      <c r="E55" s="181"/>
      <c r="F55" s="514"/>
      <c r="G55" s="532"/>
    </row>
    <row r="56" spans="1:9" s="26" customFormat="1" x14ac:dyDescent="0.2">
      <c r="A56" s="177">
        <v>2.1</v>
      </c>
      <c r="B56" s="516" t="s">
        <v>41</v>
      </c>
      <c r="C56" s="353"/>
      <c r="D56" s="354"/>
      <c r="E56" s="181"/>
      <c r="F56" s="514"/>
      <c r="G56" s="532"/>
    </row>
    <row r="57" spans="1:9" s="26" customFormat="1" ht="65.25" customHeight="1" x14ac:dyDescent="0.2">
      <c r="A57" s="177"/>
      <c r="B57" s="533" t="s">
        <v>244</v>
      </c>
      <c r="C57" s="534"/>
      <c r="D57" s="534"/>
      <c r="E57" s="534"/>
      <c r="F57" s="534"/>
      <c r="G57" s="535"/>
    </row>
    <row r="58" spans="1:9" s="26" customFormat="1" x14ac:dyDescent="0.25">
      <c r="A58" s="536"/>
      <c r="B58" s="537"/>
      <c r="C58" s="537"/>
      <c r="D58" s="538"/>
      <c r="E58" s="539"/>
      <c r="F58" s="537"/>
      <c r="G58" s="540"/>
    </row>
    <row r="59" spans="1:9" s="26" customFormat="1" x14ac:dyDescent="0.2">
      <c r="A59" s="177" t="s">
        <v>10</v>
      </c>
      <c r="B59" s="541" t="s">
        <v>60</v>
      </c>
      <c r="C59" s="322"/>
      <c r="D59" s="187"/>
      <c r="E59" s="224"/>
      <c r="F59" s="182"/>
      <c r="G59" s="183">
        <f t="shared" ref="G59:G69" si="1">(D59*E59)+(D59*F59)</f>
        <v>0</v>
      </c>
    </row>
    <row r="60" spans="1:9" s="26" customFormat="1" ht="48.75" customHeight="1" x14ac:dyDescent="0.2">
      <c r="A60" s="177"/>
      <c r="B60" s="521" t="s">
        <v>61</v>
      </c>
      <c r="C60" s="322" t="s">
        <v>44</v>
      </c>
      <c r="D60" s="542">
        <v>280</v>
      </c>
      <c r="E60" s="181"/>
      <c r="F60" s="182"/>
      <c r="G60" s="183">
        <f t="shared" si="1"/>
        <v>0</v>
      </c>
      <c r="I60" s="26">
        <f>20.4*13.675</f>
        <v>278.96999999999997</v>
      </c>
    </row>
    <row r="61" spans="1:9" s="26" customFormat="1" x14ac:dyDescent="0.2">
      <c r="A61" s="177"/>
      <c r="B61" s="521"/>
      <c r="C61" s="322"/>
      <c r="D61" s="542"/>
      <c r="E61" s="181"/>
      <c r="F61" s="182"/>
      <c r="G61" s="183">
        <f t="shared" si="1"/>
        <v>0</v>
      </c>
    </row>
    <row r="62" spans="1:9" s="26" customFormat="1" x14ac:dyDescent="0.2">
      <c r="A62" s="177" t="s">
        <v>16</v>
      </c>
      <c r="B62" s="543" t="s">
        <v>42</v>
      </c>
      <c r="C62" s="322"/>
      <c r="D62" s="544"/>
      <c r="E62" s="181"/>
      <c r="F62" s="182"/>
      <c r="G62" s="183">
        <f t="shared" si="1"/>
        <v>0</v>
      </c>
    </row>
    <row r="63" spans="1:9" s="26" customFormat="1" ht="51" customHeight="1" x14ac:dyDescent="0.2">
      <c r="A63" s="177"/>
      <c r="B63" s="545" t="s">
        <v>43</v>
      </c>
      <c r="C63" s="322" t="s">
        <v>44</v>
      </c>
      <c r="D63" s="544"/>
      <c r="E63" s="181"/>
      <c r="F63" s="182"/>
      <c r="G63" s="183">
        <f t="shared" si="1"/>
        <v>0</v>
      </c>
      <c r="I63" s="26">
        <f>16.336*8.75</f>
        <v>142.94</v>
      </c>
    </row>
    <row r="64" spans="1:9" s="26" customFormat="1" x14ac:dyDescent="0.2">
      <c r="A64" s="177"/>
      <c r="B64" s="546"/>
      <c r="C64" s="322"/>
      <c r="D64" s="180"/>
      <c r="E64" s="181"/>
      <c r="F64" s="182"/>
      <c r="G64" s="183">
        <f t="shared" si="1"/>
        <v>0</v>
      </c>
    </row>
    <row r="65" spans="1:19" s="26" customFormat="1" x14ac:dyDescent="0.2">
      <c r="A65" s="177" t="s">
        <v>48</v>
      </c>
      <c r="B65" s="547" t="s">
        <v>45</v>
      </c>
      <c r="C65" s="322"/>
      <c r="D65" s="180"/>
      <c r="E65" s="181"/>
      <c r="F65" s="182"/>
      <c r="G65" s="183">
        <f t="shared" si="1"/>
        <v>0</v>
      </c>
    </row>
    <row r="66" spans="1:19" s="26" customFormat="1" ht="53.25" customHeight="1" x14ac:dyDescent="0.2">
      <c r="A66" s="536"/>
      <c r="B66" s="548" t="s">
        <v>46</v>
      </c>
      <c r="C66" s="548"/>
      <c r="D66" s="548"/>
      <c r="E66" s="548"/>
      <c r="F66" s="182"/>
      <c r="G66" s="183">
        <f t="shared" si="1"/>
        <v>0</v>
      </c>
      <c r="I66" s="26">
        <f>1.1*1.1*7</f>
        <v>8.4700000000000006</v>
      </c>
      <c r="J66" s="26">
        <f>1.45*1.45*6</f>
        <v>12.615</v>
      </c>
      <c r="K66" s="26">
        <f>1.35*1.35*5</f>
        <v>9.1125000000000007</v>
      </c>
      <c r="L66" s="26">
        <f>1.4*1.1*4</f>
        <v>6.16</v>
      </c>
      <c r="M66" s="26">
        <f>0.9*0.9*2</f>
        <v>1.62</v>
      </c>
      <c r="N66" s="26">
        <f>1.25*1.25*3</f>
        <v>4.6875</v>
      </c>
      <c r="O66" s="26">
        <f>1.95*1.95*2</f>
        <v>7.6049999999999995</v>
      </c>
      <c r="P66" s="26">
        <f>2.05*2.05*2</f>
        <v>8.4049999999999994</v>
      </c>
      <c r="Q66" s="26">
        <f>1.8*1.3*2</f>
        <v>4.6800000000000006</v>
      </c>
      <c r="R66" s="26">
        <f>SUM(I66:Q66)</f>
        <v>63.354999999999997</v>
      </c>
      <c r="S66" s="26">
        <f>R66*1.25</f>
        <v>79.193749999999994</v>
      </c>
    </row>
    <row r="67" spans="1:19" s="26" customFormat="1" ht="12.75" customHeight="1" x14ac:dyDescent="0.25">
      <c r="A67" s="177" t="s">
        <v>50</v>
      </c>
      <c r="B67" s="549" t="s">
        <v>45</v>
      </c>
      <c r="C67" s="322"/>
      <c r="D67" s="180"/>
      <c r="E67" s="181"/>
      <c r="F67" s="182"/>
      <c r="G67" s="183">
        <f t="shared" si="1"/>
        <v>0</v>
      </c>
      <c r="I67" s="26">
        <f>1.975+2.2*5+2.15+1.925+1.925+2.15+2.1*5+1.925+2.3*2+2.4*6+2.92*2+1.15*2</f>
        <v>60.69</v>
      </c>
      <c r="J67" s="54">
        <f>I67*0.55</f>
        <v>33.3795</v>
      </c>
      <c r="K67" s="23"/>
      <c r="L67" s="23">
        <f>1.475+4.7+4.65+4.7+1.475+2.77+2.72*3+2.98*3+2.95*2+3.03</f>
        <v>45.800000000000004</v>
      </c>
      <c r="M67" s="23">
        <f>L67*0.55</f>
        <v>25.190000000000005</v>
      </c>
      <c r="N67" s="26">
        <f>J67+M67</f>
        <v>58.569500000000005</v>
      </c>
      <c r="O67" s="26">
        <f>N67*0.95</f>
        <v>55.641024999999999</v>
      </c>
      <c r="P67" s="26">
        <f>S66+O67</f>
        <v>134.83477499999998</v>
      </c>
    </row>
    <row r="68" spans="1:19" s="23" customFormat="1" ht="15" x14ac:dyDescent="0.25">
      <c r="A68" s="550" t="s">
        <v>7</v>
      </c>
      <c r="B68" s="551" t="s">
        <v>234</v>
      </c>
      <c r="C68" s="322" t="s">
        <v>47</v>
      </c>
      <c r="D68" s="180">
        <v>134.84</v>
      </c>
      <c r="E68" s="181"/>
      <c r="F68" s="346"/>
      <c r="G68" s="347">
        <f t="shared" si="1"/>
        <v>0</v>
      </c>
      <c r="J68" s="54"/>
    </row>
    <row r="69" spans="1:19" s="26" customFormat="1" x14ac:dyDescent="0.2">
      <c r="A69" s="177"/>
      <c r="B69" s="178"/>
      <c r="C69" s="322"/>
      <c r="D69" s="180"/>
      <c r="E69" s="181"/>
      <c r="F69" s="514"/>
      <c r="G69" s="183">
        <f t="shared" si="1"/>
        <v>0</v>
      </c>
    </row>
    <row r="70" spans="1:19" s="26" customFormat="1" x14ac:dyDescent="0.2">
      <c r="A70" s="177" t="s">
        <v>48</v>
      </c>
      <c r="B70" s="552" t="s">
        <v>49</v>
      </c>
      <c r="C70" s="322"/>
      <c r="D70" s="180"/>
      <c r="E70" s="181"/>
      <c r="F70" s="514"/>
      <c r="G70" s="532"/>
    </row>
    <row r="71" spans="1:19" s="26" customFormat="1" ht="25.5" customHeight="1" x14ac:dyDescent="0.25">
      <c r="A71" s="177"/>
      <c r="B71" s="553" t="s">
        <v>268</v>
      </c>
      <c r="C71" s="554"/>
      <c r="D71" s="554"/>
      <c r="E71" s="554"/>
      <c r="F71" s="514"/>
      <c r="G71" s="532"/>
    </row>
    <row r="72" spans="1:19" s="26" customFormat="1" ht="25.5" customHeight="1" x14ac:dyDescent="0.25">
      <c r="A72" s="177"/>
      <c r="B72" s="527" t="s">
        <v>269</v>
      </c>
      <c r="C72" s="555"/>
      <c r="D72" s="555"/>
      <c r="E72" s="555"/>
      <c r="F72" s="514"/>
      <c r="G72" s="532"/>
    </row>
    <row r="73" spans="1:19" s="26" customFormat="1" ht="24" x14ac:dyDescent="0.2">
      <c r="A73" s="177" t="s">
        <v>177</v>
      </c>
      <c r="B73" s="556" t="s">
        <v>312</v>
      </c>
      <c r="C73" s="322" t="s">
        <v>44</v>
      </c>
      <c r="D73" s="542">
        <v>276.7</v>
      </c>
      <c r="E73" s="181"/>
      <c r="F73" s="182"/>
      <c r="G73" s="183">
        <f t="shared" ref="G73:G78" si="2">(D73*E73)+(D73*F73)</f>
        <v>0</v>
      </c>
      <c r="I73" s="26">
        <f>19.2*10.75</f>
        <v>206.4</v>
      </c>
    </row>
    <row r="74" spans="1:19" s="26" customFormat="1" ht="38.25" customHeight="1" x14ac:dyDescent="0.2">
      <c r="A74" s="177" t="s">
        <v>178</v>
      </c>
      <c r="B74" s="556" t="s">
        <v>313</v>
      </c>
      <c r="C74" s="322" t="s">
        <v>44</v>
      </c>
      <c r="D74" s="542">
        <f>D73</f>
        <v>276.7</v>
      </c>
      <c r="E74" s="181"/>
      <c r="F74" s="182"/>
      <c r="G74" s="183">
        <f t="shared" si="2"/>
        <v>0</v>
      </c>
    </row>
    <row r="75" spans="1:19" s="26" customFormat="1" x14ac:dyDescent="0.2">
      <c r="A75" s="177">
        <v>2.5</v>
      </c>
      <c r="B75" s="547" t="s">
        <v>51</v>
      </c>
      <c r="C75" s="322"/>
      <c r="D75" s="180"/>
      <c r="E75" s="181"/>
      <c r="F75" s="182"/>
      <c r="G75" s="183">
        <f t="shared" si="2"/>
        <v>0</v>
      </c>
    </row>
    <row r="76" spans="1:19" s="26" customFormat="1" ht="27" customHeight="1" x14ac:dyDescent="0.2">
      <c r="A76" s="177"/>
      <c r="B76" s="557" t="s">
        <v>52</v>
      </c>
      <c r="C76" s="322"/>
      <c r="D76" s="180"/>
      <c r="E76" s="181"/>
      <c r="F76" s="182"/>
      <c r="G76" s="183">
        <f t="shared" si="2"/>
        <v>0</v>
      </c>
    </row>
    <row r="77" spans="1:19" s="26" customFormat="1" ht="24" x14ac:dyDescent="0.2">
      <c r="A77" s="177" t="s">
        <v>177</v>
      </c>
      <c r="B77" s="557" t="s">
        <v>53</v>
      </c>
      <c r="C77" s="322" t="s">
        <v>44</v>
      </c>
      <c r="D77" s="180">
        <f>D96+285.75</f>
        <v>407.43</v>
      </c>
      <c r="E77" s="181"/>
      <c r="F77" s="182"/>
      <c r="G77" s="183">
        <f t="shared" si="2"/>
        <v>0</v>
      </c>
      <c r="I77" s="28"/>
      <c r="J77" s="28"/>
    </row>
    <row r="78" spans="1:19" s="26" customFormat="1" x14ac:dyDescent="0.2">
      <c r="A78" s="177"/>
      <c r="B78" s="557"/>
      <c r="C78" s="322"/>
      <c r="D78" s="180"/>
      <c r="E78" s="181"/>
      <c r="F78" s="514"/>
      <c r="G78" s="183">
        <f t="shared" si="2"/>
        <v>0</v>
      </c>
      <c r="I78" s="28"/>
    </row>
    <row r="79" spans="1:19" s="26" customFormat="1" x14ac:dyDescent="0.2">
      <c r="A79" s="177"/>
      <c r="B79" s="557"/>
      <c r="C79" s="322"/>
      <c r="D79" s="180"/>
      <c r="E79" s="181"/>
      <c r="F79" s="514"/>
      <c r="G79" s="532"/>
    </row>
    <row r="80" spans="1:19" s="26" customFormat="1" x14ac:dyDescent="0.2">
      <c r="A80" s="177"/>
      <c r="B80" s="557"/>
      <c r="C80" s="322"/>
      <c r="D80" s="180"/>
      <c r="E80" s="181"/>
      <c r="F80" s="514"/>
      <c r="G80" s="532"/>
    </row>
    <row r="81" spans="1:18" s="26" customFormat="1" x14ac:dyDescent="0.2">
      <c r="A81" s="177"/>
      <c r="B81" s="557"/>
      <c r="C81" s="322"/>
      <c r="D81" s="180"/>
      <c r="E81" s="181"/>
      <c r="F81" s="514"/>
      <c r="G81" s="532"/>
    </row>
    <row r="82" spans="1:18" s="26" customFormat="1" x14ac:dyDescent="0.2">
      <c r="A82" s="177"/>
      <c r="B82" s="557"/>
      <c r="C82" s="322"/>
      <c r="D82" s="180"/>
      <c r="E82" s="181"/>
      <c r="F82" s="514"/>
      <c r="G82" s="532"/>
    </row>
    <row r="83" spans="1:18" s="26" customFormat="1" x14ac:dyDescent="0.2">
      <c r="A83" s="177"/>
      <c r="B83" s="557"/>
      <c r="C83" s="322"/>
      <c r="D83" s="180"/>
      <c r="E83" s="181"/>
      <c r="F83" s="514"/>
      <c r="G83" s="532"/>
    </row>
    <row r="84" spans="1:18" s="26" customFormat="1" x14ac:dyDescent="0.2">
      <c r="A84" s="177"/>
      <c r="B84" s="557"/>
      <c r="C84" s="322"/>
      <c r="D84" s="180"/>
      <c r="E84" s="181"/>
      <c r="F84" s="514"/>
      <c r="G84" s="532"/>
    </row>
    <row r="85" spans="1:18" s="26" customFormat="1" x14ac:dyDescent="0.2">
      <c r="A85" s="177"/>
      <c r="B85" s="557"/>
      <c r="C85" s="322"/>
      <c r="D85" s="180"/>
      <c r="E85" s="181"/>
      <c r="F85" s="514"/>
      <c r="G85" s="532"/>
    </row>
    <row r="86" spans="1:18" s="26" customFormat="1" ht="12.75" thickBot="1" x14ac:dyDescent="0.25">
      <c r="A86" s="329"/>
      <c r="B86" s="558"/>
      <c r="C86" s="330"/>
      <c r="D86" s="331"/>
      <c r="E86" s="199"/>
      <c r="F86" s="530"/>
      <c r="G86" s="559"/>
    </row>
    <row r="87" spans="1:18" s="26" customFormat="1" x14ac:dyDescent="0.2">
      <c r="A87" s="153"/>
      <c r="B87" s="154" t="s">
        <v>54</v>
      </c>
      <c r="C87" s="166"/>
      <c r="D87" s="156"/>
      <c r="E87" s="157"/>
      <c r="F87" s="164"/>
      <c r="G87" s="158"/>
    </row>
    <row r="88" spans="1:18" s="26" customFormat="1" ht="12.75" thickBot="1" x14ac:dyDescent="0.25">
      <c r="A88" s="159"/>
      <c r="B88" s="142" t="s">
        <v>55</v>
      </c>
      <c r="C88" s="167"/>
      <c r="D88" s="161"/>
      <c r="E88" s="162"/>
      <c r="F88" s="165"/>
      <c r="G88" s="163">
        <f>SUM(G60:G87)</f>
        <v>0</v>
      </c>
    </row>
    <row r="89" spans="1:18" s="26" customFormat="1" x14ac:dyDescent="0.2">
      <c r="A89" s="153"/>
      <c r="B89" s="577" t="s">
        <v>56</v>
      </c>
      <c r="C89" s="166"/>
      <c r="D89" s="156"/>
      <c r="E89" s="157"/>
      <c r="F89" s="578"/>
      <c r="G89" s="158"/>
    </row>
    <row r="90" spans="1:18" s="26" customFormat="1" x14ac:dyDescent="0.2">
      <c r="A90" s="65" t="s">
        <v>57</v>
      </c>
      <c r="B90" s="85" t="s">
        <v>58</v>
      </c>
      <c r="C90" s="74"/>
      <c r="D90" s="61"/>
      <c r="E90" s="69"/>
      <c r="F90" s="70"/>
      <c r="G90" s="71"/>
    </row>
    <row r="91" spans="1:18" s="26" customFormat="1" ht="49.5" customHeight="1" x14ac:dyDescent="0.25">
      <c r="A91" s="65"/>
      <c r="B91" s="82" t="s">
        <v>246</v>
      </c>
      <c r="C91" s="83"/>
      <c r="D91" s="83"/>
      <c r="E91" s="83"/>
      <c r="F91" s="83"/>
      <c r="G91" s="86"/>
    </row>
    <row r="92" spans="1:18" s="26" customFormat="1" ht="26.25" customHeight="1" x14ac:dyDescent="0.25">
      <c r="A92" s="65"/>
      <c r="B92" s="82" t="s">
        <v>245</v>
      </c>
      <c r="C92" s="83"/>
      <c r="D92" s="83"/>
      <c r="E92" s="83"/>
      <c r="F92" s="83"/>
      <c r="G92" s="86"/>
    </row>
    <row r="93" spans="1:18" s="26" customFormat="1" ht="36" customHeight="1" thickBot="1" x14ac:dyDescent="0.3">
      <c r="A93" s="159"/>
      <c r="B93" s="579" t="s">
        <v>167</v>
      </c>
      <c r="C93" s="580"/>
      <c r="D93" s="580"/>
      <c r="E93" s="580"/>
      <c r="F93" s="580"/>
      <c r="G93" s="581"/>
    </row>
    <row r="94" spans="1:18" s="26" customFormat="1" ht="15" customHeight="1" x14ac:dyDescent="0.2">
      <c r="A94" s="263" t="s">
        <v>62</v>
      </c>
      <c r="B94" s="399" t="s">
        <v>63</v>
      </c>
      <c r="C94" s="569"/>
      <c r="D94" s="266"/>
      <c r="E94" s="267"/>
      <c r="F94" s="570"/>
      <c r="G94" s="571"/>
      <c r="I94" s="26">
        <f>1.1*1.1*7</f>
        <v>8.4700000000000006</v>
      </c>
      <c r="J94" s="26">
        <f>1.45*1.45*8</f>
        <v>16.82</v>
      </c>
      <c r="K94" s="26">
        <f>1.35*1.35*5</f>
        <v>9.1125000000000007</v>
      </c>
      <c r="L94" s="26">
        <f>1.2*1.2*4</f>
        <v>5.76</v>
      </c>
      <c r="M94" s="26">
        <f>0.9*0.9*2</f>
        <v>1.62</v>
      </c>
      <c r="N94" s="26">
        <f>1.25*1.25*3</f>
        <v>4.6875</v>
      </c>
      <c r="O94" s="26">
        <f>1.95*1.95*2</f>
        <v>7.6049999999999995</v>
      </c>
      <c r="P94" s="26">
        <f>2.05*2.05*2</f>
        <v>8.4049999999999994</v>
      </c>
      <c r="Q94" s="26">
        <f>SUM(I93:P94)</f>
        <v>62.48</v>
      </c>
      <c r="R94" s="26">
        <f>Q94</f>
        <v>62.48</v>
      </c>
    </row>
    <row r="95" spans="1:18" s="56" customFormat="1" ht="14.25" customHeight="1" x14ac:dyDescent="0.25">
      <c r="A95" s="343"/>
      <c r="B95" s="547" t="s">
        <v>292</v>
      </c>
      <c r="C95" s="525"/>
      <c r="D95" s="526"/>
      <c r="E95" s="572"/>
      <c r="F95" s="573"/>
      <c r="G95" s="574"/>
      <c r="I95" s="26">
        <f>2.175+2.15+2.2*5+2.225+1.75+4.65*2+4.75+1.85+2.175+2.1*5+2.15+2.5*2+2.4*6+1.25*2+3.2*2+3.255*2</f>
        <v>84.835000000000008</v>
      </c>
      <c r="J95" s="54">
        <f>I95*0.55</f>
        <v>46.659250000000007</v>
      </c>
      <c r="K95" s="23">
        <f>2.92+2.98+2.93*2+2.72*2+2.93+2.67</f>
        <v>22.800000000000004</v>
      </c>
      <c r="L95" s="64">
        <f>K95*0.55</f>
        <v>12.540000000000003</v>
      </c>
      <c r="M95" s="64">
        <f>J95+L95</f>
        <v>59.199250000000006</v>
      </c>
      <c r="N95" s="57">
        <f>R94+M95</f>
        <v>121.67925</v>
      </c>
      <c r="O95" s="26"/>
      <c r="P95" s="26"/>
      <c r="Q95" s="26"/>
      <c r="R95" s="26"/>
    </row>
    <row r="96" spans="1:18" s="26" customFormat="1" ht="12" customHeight="1" x14ac:dyDescent="0.2">
      <c r="A96" s="177"/>
      <c r="B96" s="178" t="s">
        <v>306</v>
      </c>
      <c r="C96" s="322" t="s">
        <v>44</v>
      </c>
      <c r="D96" s="180">
        <v>121.68</v>
      </c>
      <c r="E96" s="181"/>
      <c r="F96" s="182"/>
      <c r="G96" s="183">
        <f t="shared" ref="G96" si="3">(D96*E96)+(D96*F96)</f>
        <v>0</v>
      </c>
    </row>
    <row r="97" spans="1:18" s="26" customFormat="1" ht="15" customHeight="1" x14ac:dyDescent="0.2">
      <c r="A97" s="575" t="s">
        <v>68</v>
      </c>
      <c r="B97" s="576" t="s">
        <v>13</v>
      </c>
      <c r="C97" s="265"/>
      <c r="D97" s="266"/>
      <c r="E97" s="267"/>
      <c r="F97" s="570"/>
      <c r="G97" s="571"/>
      <c r="I97" s="22"/>
      <c r="J97" s="22"/>
      <c r="K97" s="22"/>
      <c r="L97" s="22"/>
      <c r="M97" s="22"/>
      <c r="N97" s="22"/>
      <c r="O97" s="22"/>
      <c r="P97" s="22"/>
      <c r="Q97" s="22"/>
      <c r="R97" s="22"/>
    </row>
    <row r="98" spans="1:18" x14ac:dyDescent="0.2">
      <c r="A98" s="170" t="s">
        <v>160</v>
      </c>
      <c r="B98" s="171" t="s">
        <v>64</v>
      </c>
      <c r="C98" s="172"/>
      <c r="D98" s="173"/>
      <c r="E98" s="174"/>
      <c r="F98" s="175"/>
      <c r="G98" s="176"/>
    </row>
    <row r="99" spans="1:18" x14ac:dyDescent="0.2">
      <c r="A99" s="177"/>
      <c r="B99" s="178" t="s">
        <v>503</v>
      </c>
      <c r="C99" s="322" t="s">
        <v>47</v>
      </c>
      <c r="D99" s="180">
        <v>11.83</v>
      </c>
      <c r="E99" s="181"/>
      <c r="F99" s="182"/>
      <c r="G99" s="183">
        <f t="shared" ref="G99:G101" si="4">(D99*E99)+(D99*F99)</f>
        <v>0</v>
      </c>
      <c r="I99" s="33">
        <f>0.8*0.8*0.3*7</f>
        <v>1.3440000000000003</v>
      </c>
      <c r="J99" s="28">
        <f>1.15*1.15*0.3*6</f>
        <v>2.3804999999999996</v>
      </c>
      <c r="K99" s="26">
        <f>1.05*1.05*0.3*5</f>
        <v>1.6537500000000001</v>
      </c>
      <c r="L99" s="57">
        <f>1.1*0.8*0.3*4</f>
        <v>1.056</v>
      </c>
      <c r="M99" s="26">
        <f>0.6*0.6*0.3*2</f>
        <v>0.216</v>
      </c>
      <c r="N99" s="57">
        <f>0.95*0.95*0.3*3</f>
        <v>0.81224999999999992</v>
      </c>
      <c r="O99" s="22">
        <f>1.65*1.65*0.3*2</f>
        <v>1.6334999999999997</v>
      </c>
      <c r="P99" s="22">
        <f>1.75*1.75*0.3*2</f>
        <v>1.8374999999999999</v>
      </c>
      <c r="Q99" s="33">
        <f>1.5*1*0.3*2</f>
        <v>0.89999999999999991</v>
      </c>
      <c r="R99" s="33">
        <f>SUM(I99:Q99)</f>
        <v>11.833500000000001</v>
      </c>
    </row>
    <row r="100" spans="1:18" x14ac:dyDescent="0.2">
      <c r="A100" s="177"/>
      <c r="B100" s="178" t="s">
        <v>314</v>
      </c>
      <c r="C100" s="322" t="s">
        <v>47</v>
      </c>
      <c r="D100" s="180">
        <v>10.91</v>
      </c>
      <c r="E100" s="181"/>
      <c r="F100" s="182"/>
      <c r="G100" s="183">
        <f t="shared" si="4"/>
        <v>0</v>
      </c>
      <c r="I100" s="33">
        <f>25.8*3+3.97*2+4.03*2+1.75*2</f>
        <v>96.9</v>
      </c>
      <c r="J100" s="28">
        <f>I100*0.25*0.45</f>
        <v>10.901250000000001</v>
      </c>
      <c r="K100" s="28"/>
      <c r="L100" s="57"/>
      <c r="M100" s="26"/>
      <c r="N100" s="57"/>
    </row>
    <row r="101" spans="1:18" x14ac:dyDescent="0.2">
      <c r="A101" s="177"/>
      <c r="B101" s="178" t="s">
        <v>315</v>
      </c>
      <c r="C101" s="322" t="s">
        <v>47</v>
      </c>
      <c r="D101" s="180">
        <v>7.3</v>
      </c>
      <c r="E101" s="181"/>
      <c r="F101" s="182"/>
      <c r="G101" s="183">
        <f t="shared" si="4"/>
        <v>0</v>
      </c>
      <c r="I101" s="33">
        <f>3.97*4+4.055*4+1.75*4+25.8</f>
        <v>64.900000000000006</v>
      </c>
      <c r="J101" s="28">
        <f>I101*0.25*0.45</f>
        <v>7.3012500000000005</v>
      </c>
      <c r="K101" s="28"/>
      <c r="L101" s="57"/>
      <c r="M101" s="26"/>
      <c r="N101" s="57"/>
    </row>
    <row r="102" spans="1:18" x14ac:dyDescent="0.2">
      <c r="A102" s="184"/>
      <c r="B102" s="185"/>
      <c r="C102" s="186"/>
      <c r="D102" s="187"/>
      <c r="E102" s="181"/>
      <c r="F102" s="182"/>
      <c r="G102" s="183"/>
    </row>
    <row r="103" spans="1:18" x14ac:dyDescent="0.2">
      <c r="A103" s="170" t="s">
        <v>161</v>
      </c>
      <c r="B103" s="171" t="s">
        <v>67</v>
      </c>
      <c r="C103" s="172"/>
      <c r="D103" s="173"/>
      <c r="E103" s="174"/>
      <c r="F103" s="175"/>
      <c r="G103" s="176"/>
    </row>
    <row r="104" spans="1:18" x14ac:dyDescent="0.2">
      <c r="A104" s="188" t="s">
        <v>165</v>
      </c>
      <c r="B104" s="189" t="s">
        <v>186</v>
      </c>
      <c r="C104" s="190"/>
      <c r="D104" s="191"/>
      <c r="E104" s="192"/>
      <c r="F104" s="193"/>
      <c r="G104" s="194"/>
    </row>
    <row r="105" spans="1:18" ht="13.5" x14ac:dyDescent="0.2">
      <c r="A105" s="184"/>
      <c r="B105" s="185" t="s">
        <v>504</v>
      </c>
      <c r="C105" s="186" t="s">
        <v>150</v>
      </c>
      <c r="D105" s="187">
        <v>4.4950000000000001</v>
      </c>
      <c r="E105" s="181"/>
      <c r="F105" s="182"/>
      <c r="G105" s="183">
        <f t="shared" ref="G105:G107" si="5">(D105*E105)+(D105*F105)</f>
        <v>0</v>
      </c>
      <c r="I105" s="22">
        <f>0.2*0.2*3.875*29</f>
        <v>4.495000000000001</v>
      </c>
    </row>
    <row r="106" spans="1:18" ht="13.5" x14ac:dyDescent="0.2">
      <c r="A106" s="184"/>
      <c r="B106" s="185" t="s">
        <v>509</v>
      </c>
      <c r="C106" s="186" t="s">
        <v>150</v>
      </c>
      <c r="D106" s="187">
        <v>0.93</v>
      </c>
      <c r="E106" s="181"/>
      <c r="F106" s="182"/>
      <c r="G106" s="183">
        <f t="shared" si="5"/>
        <v>0</v>
      </c>
      <c r="I106" s="22">
        <f>0.3*0.2*3.875*4</f>
        <v>0.92999999999999994</v>
      </c>
    </row>
    <row r="107" spans="1:18" ht="13.5" x14ac:dyDescent="0.2">
      <c r="A107" s="184"/>
      <c r="B107" s="185" t="s">
        <v>505</v>
      </c>
      <c r="C107" s="186" t="s">
        <v>150</v>
      </c>
      <c r="D107" s="187">
        <v>0.46239999999999998</v>
      </c>
      <c r="E107" s="181"/>
      <c r="F107" s="182"/>
      <c r="G107" s="183">
        <f t="shared" si="5"/>
        <v>0</v>
      </c>
      <c r="I107" s="22">
        <f>0.15*0.15*3.425*6</f>
        <v>0.46237499999999998</v>
      </c>
    </row>
    <row r="108" spans="1:18" x14ac:dyDescent="0.2">
      <c r="A108" s="188" t="s">
        <v>10</v>
      </c>
      <c r="B108" s="189" t="s">
        <v>215</v>
      </c>
      <c r="C108" s="190"/>
      <c r="D108" s="191"/>
      <c r="E108" s="192"/>
      <c r="F108" s="182"/>
      <c r="G108" s="183">
        <f t="shared" ref="G108:G109" si="6">(D108*E108)+(D108*F108)</f>
        <v>0</v>
      </c>
    </row>
    <row r="109" spans="1:18" ht="13.5" x14ac:dyDescent="0.2">
      <c r="A109" s="184"/>
      <c r="B109" s="185" t="s">
        <v>316</v>
      </c>
      <c r="C109" s="186" t="s">
        <v>150</v>
      </c>
      <c r="D109" s="187">
        <v>3.1</v>
      </c>
      <c r="E109" s="181"/>
      <c r="F109" s="182"/>
      <c r="G109" s="183">
        <f t="shared" si="6"/>
        <v>0</v>
      </c>
    </row>
    <row r="110" spans="1:18" x14ac:dyDescent="0.2">
      <c r="A110" s="188" t="s">
        <v>16</v>
      </c>
      <c r="B110" s="189" t="s">
        <v>218</v>
      </c>
      <c r="C110" s="190"/>
      <c r="D110" s="191"/>
      <c r="E110" s="192"/>
      <c r="F110" s="182"/>
      <c r="G110" s="183">
        <f t="shared" ref="G110:G111" si="7">(D110*E110)+(D110*F110)</f>
        <v>0</v>
      </c>
    </row>
    <row r="111" spans="1:18" ht="13.5" x14ac:dyDescent="0.2">
      <c r="A111" s="184"/>
      <c r="B111" s="185" t="s">
        <v>457</v>
      </c>
      <c r="C111" s="186" t="s">
        <v>150</v>
      </c>
      <c r="D111" s="187">
        <v>29.35</v>
      </c>
      <c r="E111" s="181"/>
      <c r="F111" s="182"/>
      <c r="G111" s="183">
        <f t="shared" si="7"/>
        <v>0</v>
      </c>
      <c r="I111" s="22">
        <f>25.8*11.075*0.1</f>
        <v>28.573500000000003</v>
      </c>
      <c r="J111" s="22">
        <f>25.8*0.15*2*0.1</f>
        <v>0.77400000000000002</v>
      </c>
      <c r="K111" s="22">
        <f>SUM(I111:J111)</f>
        <v>29.347500000000004</v>
      </c>
    </row>
    <row r="112" spans="1:18" x14ac:dyDescent="0.2">
      <c r="A112" s="188" t="s">
        <v>48</v>
      </c>
      <c r="B112" s="189" t="s">
        <v>458</v>
      </c>
      <c r="C112" s="190"/>
      <c r="D112" s="191"/>
      <c r="E112" s="192"/>
      <c r="F112" s="182"/>
      <c r="G112" s="183">
        <f t="shared" ref="G112:G113" si="8">(D112*E112)+(D112*F112)</f>
        <v>0</v>
      </c>
    </row>
    <row r="113" spans="1:12" ht="13.5" x14ac:dyDescent="0.2">
      <c r="A113" s="184"/>
      <c r="B113" s="185" t="s">
        <v>319</v>
      </c>
      <c r="C113" s="186" t="s">
        <v>150</v>
      </c>
      <c r="D113" s="187">
        <v>0.9</v>
      </c>
      <c r="E113" s="181"/>
      <c r="F113" s="182"/>
      <c r="G113" s="183">
        <f t="shared" si="8"/>
        <v>0</v>
      </c>
      <c r="I113" s="22">
        <f>4.42*2+3*2</f>
        <v>14.84</v>
      </c>
      <c r="J113" s="22">
        <f>I113*0.2*0.3</f>
        <v>0.89039999999999997</v>
      </c>
    </row>
    <row r="114" spans="1:12" x14ac:dyDescent="0.2">
      <c r="A114" s="188" t="s">
        <v>460</v>
      </c>
      <c r="B114" s="189" t="s">
        <v>459</v>
      </c>
      <c r="C114" s="190"/>
      <c r="D114" s="191"/>
      <c r="E114" s="192"/>
      <c r="F114" s="182"/>
      <c r="G114" s="183">
        <f t="shared" ref="G114:G115" si="9">(D114*E114)+(D114*F114)</f>
        <v>0</v>
      </c>
    </row>
    <row r="115" spans="1:12" ht="13.5" x14ac:dyDescent="0.2">
      <c r="A115" s="184"/>
      <c r="B115" s="185" t="s">
        <v>326</v>
      </c>
      <c r="C115" s="186" t="s">
        <v>150</v>
      </c>
      <c r="D115" s="187">
        <v>3.05</v>
      </c>
      <c r="E115" s="181"/>
      <c r="F115" s="182"/>
      <c r="G115" s="183">
        <f t="shared" si="9"/>
        <v>0</v>
      </c>
      <c r="I115" s="22">
        <f>5.925*3.4</f>
        <v>20.145</v>
      </c>
      <c r="J115" s="22">
        <f>I115*0.15</f>
        <v>3.0217499999999999</v>
      </c>
    </row>
    <row r="116" spans="1:12" x14ac:dyDescent="0.2">
      <c r="A116" s="184"/>
      <c r="B116" s="185"/>
      <c r="C116" s="186"/>
      <c r="D116" s="187"/>
      <c r="E116" s="181"/>
      <c r="F116" s="182"/>
      <c r="G116" s="183"/>
    </row>
    <row r="117" spans="1:12" x14ac:dyDescent="0.2">
      <c r="A117" s="170" t="s">
        <v>57</v>
      </c>
      <c r="B117" s="171" t="s">
        <v>69</v>
      </c>
      <c r="C117" s="172"/>
      <c r="D117" s="173"/>
      <c r="E117" s="174"/>
      <c r="F117" s="175"/>
      <c r="G117" s="176"/>
    </row>
    <row r="118" spans="1:12" x14ac:dyDescent="0.2">
      <c r="A118" s="188" t="s">
        <v>166</v>
      </c>
      <c r="B118" s="189" t="s">
        <v>317</v>
      </c>
      <c r="C118" s="190"/>
      <c r="D118" s="191"/>
      <c r="E118" s="192"/>
      <c r="F118" s="193"/>
      <c r="G118" s="194"/>
    </row>
    <row r="119" spans="1:12" ht="13.5" x14ac:dyDescent="0.2">
      <c r="A119" s="184"/>
      <c r="B119" s="185" t="s">
        <v>319</v>
      </c>
      <c r="C119" s="186" t="s">
        <v>150</v>
      </c>
      <c r="D119" s="187">
        <v>3.15</v>
      </c>
      <c r="E119" s="181"/>
      <c r="F119" s="182"/>
      <c r="G119" s="183">
        <f t="shared" ref="G119:G121" si="10">(D119*E119)+(D119*F119)</f>
        <v>0</v>
      </c>
      <c r="I119" s="22">
        <f>22.6+25.8+2*2</f>
        <v>52.400000000000006</v>
      </c>
      <c r="J119" s="22">
        <f>I119*0.2*0.3</f>
        <v>3.1440000000000006</v>
      </c>
    </row>
    <row r="120" spans="1:12" ht="13.5" x14ac:dyDescent="0.2">
      <c r="A120" s="184"/>
      <c r="B120" s="185" t="s">
        <v>320</v>
      </c>
      <c r="C120" s="186" t="s">
        <v>150</v>
      </c>
      <c r="D120" s="187">
        <v>0.5</v>
      </c>
      <c r="E120" s="181"/>
      <c r="F120" s="182"/>
      <c r="G120" s="183">
        <f t="shared" si="10"/>
        <v>0</v>
      </c>
      <c r="I120" s="22">
        <f>8.3</f>
        <v>8.3000000000000007</v>
      </c>
      <c r="J120" s="22">
        <f t="shared" ref="J120:J122" si="11">I120*0.2*0.3</f>
        <v>0.498</v>
      </c>
    </row>
    <row r="121" spans="1:12" ht="13.5" x14ac:dyDescent="0.2">
      <c r="A121" s="184"/>
      <c r="B121" s="185" t="s">
        <v>321</v>
      </c>
      <c r="C121" s="186" t="s">
        <v>150</v>
      </c>
      <c r="D121" s="187">
        <v>1.95</v>
      </c>
      <c r="E121" s="181"/>
      <c r="F121" s="182"/>
      <c r="G121" s="183">
        <f t="shared" si="10"/>
        <v>0</v>
      </c>
      <c r="I121" s="22">
        <f>4.08*4+4.02*4</f>
        <v>32.4</v>
      </c>
      <c r="J121" s="22">
        <f t="shared" si="11"/>
        <v>1.944</v>
      </c>
      <c r="K121" s="22">
        <f>8.3*0.15</f>
        <v>1.2450000000000001</v>
      </c>
      <c r="L121" s="22">
        <f>SUM(J121:K121)</f>
        <v>3.1890000000000001</v>
      </c>
    </row>
    <row r="122" spans="1:12" ht="13.5" x14ac:dyDescent="0.2">
      <c r="A122" s="184"/>
      <c r="B122" s="185" t="s">
        <v>322</v>
      </c>
      <c r="C122" s="186" t="s">
        <v>150</v>
      </c>
      <c r="D122" s="187">
        <v>1.524</v>
      </c>
      <c r="E122" s="181"/>
      <c r="F122" s="182"/>
      <c r="G122" s="183">
        <f t="shared" ref="G122:G126" si="12">(D122*E122)+(D122*F122)</f>
        <v>0</v>
      </c>
      <c r="I122" s="22">
        <f>25.4</f>
        <v>25.4</v>
      </c>
      <c r="J122" s="22">
        <f t="shared" si="11"/>
        <v>1.524</v>
      </c>
    </row>
    <row r="123" spans="1:12" ht="13.5" x14ac:dyDescent="0.2">
      <c r="A123" s="184"/>
      <c r="B123" s="185" t="s">
        <v>323</v>
      </c>
      <c r="C123" s="186" t="s">
        <v>150</v>
      </c>
      <c r="D123" s="187">
        <v>0.18</v>
      </c>
      <c r="E123" s="181"/>
      <c r="F123" s="182"/>
      <c r="G123" s="183">
        <f t="shared" si="12"/>
        <v>0</v>
      </c>
      <c r="I123" s="22">
        <f>3</f>
        <v>3</v>
      </c>
      <c r="J123" s="22">
        <f>I123*0.2*0.3</f>
        <v>0.18000000000000002</v>
      </c>
    </row>
    <row r="124" spans="1:12" ht="13.5" x14ac:dyDescent="0.2">
      <c r="A124" s="184"/>
      <c r="B124" s="185" t="s">
        <v>324</v>
      </c>
      <c r="C124" s="186" t="s">
        <v>150</v>
      </c>
      <c r="D124" s="187">
        <v>1.5</v>
      </c>
      <c r="E124" s="181"/>
      <c r="F124" s="182"/>
      <c r="G124" s="183">
        <f t="shared" si="12"/>
        <v>0</v>
      </c>
      <c r="I124" s="22">
        <f>6.2*3</f>
        <v>18.600000000000001</v>
      </c>
      <c r="J124" s="22">
        <f>I124*0.2*0.4</f>
        <v>1.4880000000000004</v>
      </c>
    </row>
    <row r="125" spans="1:12" x14ac:dyDescent="0.2">
      <c r="A125" s="188" t="s">
        <v>68</v>
      </c>
      <c r="B125" s="189" t="s">
        <v>318</v>
      </c>
      <c r="C125" s="190"/>
      <c r="D125" s="191"/>
      <c r="E125" s="192"/>
      <c r="F125" s="182"/>
      <c r="G125" s="183">
        <f t="shared" si="12"/>
        <v>0</v>
      </c>
    </row>
    <row r="126" spans="1:12" ht="13.5" x14ac:dyDescent="0.2">
      <c r="A126" s="184"/>
      <c r="B126" s="185" t="s">
        <v>325</v>
      </c>
      <c r="C126" s="186" t="s">
        <v>150</v>
      </c>
      <c r="D126" s="187">
        <v>37.33</v>
      </c>
      <c r="E126" s="181"/>
      <c r="F126" s="182"/>
      <c r="G126" s="183">
        <f t="shared" si="12"/>
        <v>0</v>
      </c>
      <c r="I126" s="22">
        <f>248.86</f>
        <v>248.86</v>
      </c>
      <c r="J126" s="22">
        <f>I126*0.15</f>
        <v>37.329000000000001</v>
      </c>
    </row>
    <row r="127" spans="1:12" x14ac:dyDescent="0.2">
      <c r="A127" s="188" t="s">
        <v>71</v>
      </c>
      <c r="B127" s="189" t="s">
        <v>186</v>
      </c>
      <c r="C127" s="190"/>
      <c r="D127" s="191"/>
      <c r="E127" s="192"/>
      <c r="F127" s="193"/>
      <c r="G127" s="194"/>
    </row>
    <row r="128" spans="1:12" ht="13.5" x14ac:dyDescent="0.2">
      <c r="A128" s="184"/>
      <c r="B128" s="185" t="s">
        <v>506</v>
      </c>
      <c r="C128" s="186" t="s">
        <v>150</v>
      </c>
      <c r="D128" s="187">
        <v>3.6</v>
      </c>
      <c r="E128" s="181"/>
      <c r="F128" s="182"/>
      <c r="G128" s="183">
        <f t="shared" ref="G128:G130" si="13">(D128*E128)+(D128*F128)</f>
        <v>0</v>
      </c>
      <c r="I128" s="22">
        <f>0.2*0.2*3.1*29</f>
        <v>3.596000000000001</v>
      </c>
    </row>
    <row r="129" spans="1:18" ht="13.5" x14ac:dyDescent="0.2">
      <c r="A129" s="184"/>
      <c r="B129" s="185" t="s">
        <v>508</v>
      </c>
      <c r="C129" s="186" t="s">
        <v>150</v>
      </c>
      <c r="D129" s="187">
        <v>0.74399999999999999</v>
      </c>
      <c r="E129" s="181"/>
      <c r="F129" s="182"/>
      <c r="G129" s="183">
        <f t="shared" si="13"/>
        <v>0</v>
      </c>
      <c r="I129" s="22">
        <f>0.3*0.2*3.1*4</f>
        <v>0.74399999999999999</v>
      </c>
    </row>
    <row r="130" spans="1:18" ht="13.5" x14ac:dyDescent="0.2">
      <c r="A130" s="184"/>
      <c r="B130" s="185" t="s">
        <v>507</v>
      </c>
      <c r="C130" s="186" t="s">
        <v>150</v>
      </c>
      <c r="D130" s="187">
        <v>0.36</v>
      </c>
      <c r="E130" s="181"/>
      <c r="F130" s="182"/>
      <c r="G130" s="183">
        <f t="shared" si="13"/>
        <v>0</v>
      </c>
      <c r="I130" s="22">
        <f>0.15*0.15*2.65*6</f>
        <v>0.35775000000000001</v>
      </c>
    </row>
    <row r="131" spans="1:18" x14ac:dyDescent="0.2">
      <c r="A131" s="184"/>
      <c r="B131" s="185"/>
      <c r="C131" s="186"/>
      <c r="D131" s="187"/>
      <c r="E131" s="181"/>
      <c r="F131" s="182"/>
      <c r="G131" s="183"/>
    </row>
    <row r="132" spans="1:18" x14ac:dyDescent="0.2">
      <c r="A132" s="170" t="s">
        <v>162</v>
      </c>
      <c r="B132" s="171" t="s">
        <v>295</v>
      </c>
      <c r="C132" s="172"/>
      <c r="D132" s="173"/>
      <c r="E132" s="174"/>
      <c r="F132" s="175"/>
      <c r="G132" s="176"/>
    </row>
    <row r="133" spans="1:18" x14ac:dyDescent="0.2">
      <c r="A133" s="188" t="s">
        <v>103</v>
      </c>
      <c r="B133" s="189" t="s">
        <v>310</v>
      </c>
      <c r="C133" s="190"/>
      <c r="D133" s="191"/>
      <c r="E133" s="192"/>
      <c r="F133" s="193"/>
      <c r="G133" s="194"/>
    </row>
    <row r="134" spans="1:18" ht="13.5" x14ac:dyDescent="0.2">
      <c r="A134" s="184"/>
      <c r="B134" s="185" t="s">
        <v>329</v>
      </c>
      <c r="C134" s="186" t="s">
        <v>150</v>
      </c>
      <c r="D134" s="187">
        <v>1.675</v>
      </c>
      <c r="E134" s="181"/>
      <c r="F134" s="182"/>
      <c r="G134" s="183">
        <f t="shared" ref="G134:G136" si="14">(D134*E134)+(D134*F134)</f>
        <v>0</v>
      </c>
      <c r="I134" s="22">
        <f>6.2*3</f>
        <v>18.600000000000001</v>
      </c>
      <c r="J134" s="22">
        <f>I134*0.2*0.45</f>
        <v>1.6740000000000004</v>
      </c>
    </row>
    <row r="135" spans="1:18" ht="13.5" x14ac:dyDescent="0.2">
      <c r="A135" s="184"/>
      <c r="B135" s="185" t="s">
        <v>328</v>
      </c>
      <c r="C135" s="186" t="s">
        <v>150</v>
      </c>
      <c r="D135" s="187">
        <v>0.54</v>
      </c>
      <c r="E135" s="181"/>
      <c r="F135" s="182"/>
      <c r="G135" s="183">
        <f t="shared" si="14"/>
        <v>0</v>
      </c>
      <c r="I135" s="22">
        <f>3*2</f>
        <v>6</v>
      </c>
      <c r="J135" s="22">
        <f>I135*0.2*0.45</f>
        <v>0.54000000000000015</v>
      </c>
    </row>
    <row r="136" spans="1:18" ht="13.5" x14ac:dyDescent="0.2">
      <c r="A136" s="184"/>
      <c r="B136" s="185" t="s">
        <v>327</v>
      </c>
      <c r="C136" s="186" t="s">
        <v>150</v>
      </c>
      <c r="D136" s="187">
        <v>10.512</v>
      </c>
      <c r="E136" s="181"/>
      <c r="F136" s="182"/>
      <c r="G136" s="183">
        <f t="shared" si="14"/>
        <v>0</v>
      </c>
      <c r="I136" s="22">
        <f>24*3+4.08*6+4.02*6+1.8*6</f>
        <v>131.4</v>
      </c>
      <c r="J136" s="22">
        <f>I136*0.2*0.4</f>
        <v>10.512</v>
      </c>
    </row>
    <row r="137" spans="1:18" ht="12.75" thickBot="1" x14ac:dyDescent="0.25">
      <c r="A137" s="195"/>
      <c r="B137" s="196"/>
      <c r="C137" s="252"/>
      <c r="D137" s="198"/>
      <c r="E137" s="199"/>
      <c r="F137" s="200"/>
      <c r="G137" s="201"/>
    </row>
    <row r="138" spans="1:18" x14ac:dyDescent="0.2">
      <c r="A138" s="87" t="s">
        <v>71</v>
      </c>
      <c r="B138" s="94" t="s">
        <v>12</v>
      </c>
      <c r="C138" s="90"/>
      <c r="D138" s="88"/>
      <c r="E138" s="89"/>
      <c r="F138" s="88"/>
      <c r="G138" s="95"/>
      <c r="M138" s="22" t="e">
        <f>#REF!-#REF!</f>
        <v>#REF!</v>
      </c>
    </row>
    <row r="139" spans="1:18" ht="25.5" customHeight="1" x14ac:dyDescent="0.2">
      <c r="A139" s="65"/>
      <c r="B139" s="78" t="s">
        <v>141</v>
      </c>
      <c r="C139" s="78"/>
      <c r="D139" s="78"/>
      <c r="E139" s="78"/>
      <c r="F139" s="78"/>
      <c r="G139" s="96"/>
    </row>
    <row r="140" spans="1:18" ht="59.25" customHeight="1" x14ac:dyDescent="0.2">
      <c r="A140" s="65"/>
      <c r="B140" s="78" t="s">
        <v>72</v>
      </c>
      <c r="C140" s="78"/>
      <c r="D140" s="78"/>
      <c r="E140" s="78"/>
      <c r="F140" s="78"/>
      <c r="G140" s="96"/>
    </row>
    <row r="141" spans="1:18" ht="42" customHeight="1" x14ac:dyDescent="0.2">
      <c r="A141" s="65"/>
      <c r="B141" s="78" t="s">
        <v>73</v>
      </c>
      <c r="C141" s="78"/>
      <c r="D141" s="78"/>
      <c r="E141" s="78"/>
      <c r="F141" s="78"/>
      <c r="G141" s="96"/>
    </row>
    <row r="142" spans="1:18" ht="59.25" customHeight="1" x14ac:dyDescent="0.2">
      <c r="A142" s="65"/>
      <c r="B142" s="76" t="s">
        <v>74</v>
      </c>
      <c r="C142" s="76"/>
      <c r="D142" s="76"/>
      <c r="E142" s="76"/>
      <c r="F142" s="76"/>
      <c r="G142" s="97"/>
    </row>
    <row r="143" spans="1:18" x14ac:dyDescent="0.2">
      <c r="A143" s="202" t="s">
        <v>160</v>
      </c>
      <c r="B143" s="203" t="s">
        <v>64</v>
      </c>
      <c r="C143" s="204"/>
      <c r="D143" s="205"/>
      <c r="E143" s="206"/>
      <c r="F143" s="207"/>
      <c r="G143" s="208"/>
    </row>
    <row r="144" spans="1:18" x14ac:dyDescent="0.2">
      <c r="A144" s="177"/>
      <c r="B144" s="178" t="s">
        <v>503</v>
      </c>
      <c r="C144" s="322" t="s">
        <v>47</v>
      </c>
      <c r="D144" s="180">
        <v>41.88</v>
      </c>
      <c r="E144" s="181"/>
      <c r="F144" s="182"/>
      <c r="G144" s="183">
        <f t="shared" ref="G144" si="15">(D144*E144)+(D144*F144)</f>
        <v>0</v>
      </c>
      <c r="I144" s="33">
        <f>0.8*4*0.3*7</f>
        <v>6.72</v>
      </c>
      <c r="J144" s="28">
        <f>1.15*4*0.3*6</f>
        <v>8.2799999999999994</v>
      </c>
      <c r="K144" s="26">
        <f>1.05*4*0.3*5</f>
        <v>6.3</v>
      </c>
      <c r="L144" s="57">
        <f>(1.1+0.8)*2*0.3*4</f>
        <v>4.5600000000000005</v>
      </c>
      <c r="M144" s="26">
        <f>0.6*4*0.3*2</f>
        <v>1.44</v>
      </c>
      <c r="N144" s="57">
        <f>0.95*4*0.3*3</f>
        <v>3.42</v>
      </c>
      <c r="O144" s="22">
        <f>1.65*4*0.3*2</f>
        <v>3.9599999999999995</v>
      </c>
      <c r="P144" s="22">
        <f>1.75*4*0.3*2</f>
        <v>4.2</v>
      </c>
      <c r="Q144" s="33">
        <f>(1.5+1)*2*0.3*2</f>
        <v>3</v>
      </c>
      <c r="R144" s="33">
        <f>SUM(I144:Q144)</f>
        <v>41.88</v>
      </c>
    </row>
    <row r="145" spans="1:14" ht="13.5" x14ac:dyDescent="0.2">
      <c r="A145" s="177"/>
      <c r="B145" s="178" t="s">
        <v>314</v>
      </c>
      <c r="C145" s="179" t="s">
        <v>152</v>
      </c>
      <c r="D145" s="180">
        <v>87.48</v>
      </c>
      <c r="E145" s="181"/>
      <c r="F145" s="182"/>
      <c r="G145" s="183">
        <f t="shared" ref="G145:G146" si="16">(D145*E145)+(D145*F145)</f>
        <v>0</v>
      </c>
      <c r="I145" s="33">
        <f>25.8*3+4.02*2+4.08*2+1.8*2</f>
        <v>97.199999999999989</v>
      </c>
      <c r="J145" s="28">
        <f>I145*2*0.45</f>
        <v>87.47999999999999</v>
      </c>
      <c r="K145" s="28"/>
      <c r="L145" s="57"/>
      <c r="M145" s="26"/>
      <c r="N145" s="57"/>
    </row>
    <row r="146" spans="1:14" ht="13.5" x14ac:dyDescent="0.2">
      <c r="A146" s="177"/>
      <c r="B146" s="178" t="s">
        <v>315</v>
      </c>
      <c r="C146" s="179" t="s">
        <v>152</v>
      </c>
      <c r="D146" s="180">
        <v>52.38</v>
      </c>
      <c r="E146" s="181"/>
      <c r="F146" s="182"/>
      <c r="G146" s="183">
        <f t="shared" si="16"/>
        <v>0</v>
      </c>
      <c r="I146" s="33">
        <f>4.08*4+4.02*4+25.8</f>
        <v>58.2</v>
      </c>
      <c r="J146" s="28">
        <f>I146*2*0.45</f>
        <v>52.38</v>
      </c>
      <c r="K146" s="28"/>
      <c r="L146" s="57"/>
      <c r="M146" s="26"/>
      <c r="N146" s="57"/>
    </row>
    <row r="147" spans="1:14" x14ac:dyDescent="0.2">
      <c r="A147" s="184"/>
      <c r="B147" s="185"/>
      <c r="C147" s="186"/>
      <c r="D147" s="187"/>
      <c r="E147" s="181"/>
      <c r="F147" s="182"/>
      <c r="G147" s="183"/>
    </row>
    <row r="148" spans="1:14" x14ac:dyDescent="0.2">
      <c r="A148" s="170" t="s">
        <v>161</v>
      </c>
      <c r="B148" s="171" t="s">
        <v>67</v>
      </c>
      <c r="C148" s="172"/>
      <c r="D148" s="173"/>
      <c r="E148" s="174"/>
      <c r="F148" s="175"/>
      <c r="G148" s="176"/>
    </row>
    <row r="149" spans="1:14" x14ac:dyDescent="0.2">
      <c r="A149" s="188" t="s">
        <v>165</v>
      </c>
      <c r="B149" s="189" t="s">
        <v>186</v>
      </c>
      <c r="C149" s="190"/>
      <c r="D149" s="191"/>
      <c r="E149" s="192"/>
      <c r="F149" s="193"/>
      <c r="G149" s="194"/>
    </row>
    <row r="150" spans="1:14" ht="13.5" x14ac:dyDescent="0.2">
      <c r="A150" s="184"/>
      <c r="B150" s="185" t="s">
        <v>504</v>
      </c>
      <c r="C150" s="179" t="s">
        <v>152</v>
      </c>
      <c r="D150" s="187">
        <v>71.3</v>
      </c>
      <c r="E150" s="181"/>
      <c r="F150" s="182"/>
      <c r="G150" s="183">
        <f t="shared" ref="G150:G156" si="17">(D150*E150)+(D150*F150)</f>
        <v>0</v>
      </c>
      <c r="I150" s="22">
        <f>0.2*4*3.875*23</f>
        <v>71.3</v>
      </c>
    </row>
    <row r="151" spans="1:14" ht="13.5" x14ac:dyDescent="0.2">
      <c r="A151" s="184"/>
      <c r="B151" s="185" t="s">
        <v>509</v>
      </c>
      <c r="C151" s="179" t="s">
        <v>152</v>
      </c>
      <c r="D151" s="187">
        <v>15.5</v>
      </c>
      <c r="E151" s="181"/>
      <c r="F151" s="182"/>
      <c r="G151" s="183">
        <f t="shared" si="17"/>
        <v>0</v>
      </c>
      <c r="I151" s="22">
        <f>1*3.875*4</f>
        <v>15.5</v>
      </c>
    </row>
    <row r="152" spans="1:14" ht="13.5" x14ac:dyDescent="0.2">
      <c r="A152" s="184"/>
      <c r="B152" s="185" t="s">
        <v>505</v>
      </c>
      <c r="C152" s="179" t="s">
        <v>152</v>
      </c>
      <c r="D152" s="187">
        <v>12.33</v>
      </c>
      <c r="E152" s="181"/>
      <c r="F152" s="182"/>
      <c r="G152" s="183">
        <f t="shared" si="17"/>
        <v>0</v>
      </c>
      <c r="I152" s="22">
        <f>0.6*3.425*6</f>
        <v>12.329999999999998</v>
      </c>
    </row>
    <row r="153" spans="1:14" x14ac:dyDescent="0.2">
      <c r="A153" s="188" t="s">
        <v>10</v>
      </c>
      <c r="B153" s="189" t="s">
        <v>215</v>
      </c>
      <c r="C153" s="190"/>
      <c r="D153" s="191"/>
      <c r="E153" s="192"/>
      <c r="F153" s="182"/>
      <c r="G153" s="183">
        <f t="shared" si="17"/>
        <v>0</v>
      </c>
    </row>
    <row r="154" spans="1:14" ht="13.5" x14ac:dyDescent="0.2">
      <c r="A154" s="184"/>
      <c r="B154" s="185" t="s">
        <v>316</v>
      </c>
      <c r="C154" s="179" t="s">
        <v>152</v>
      </c>
      <c r="D154" s="187">
        <v>28.5</v>
      </c>
      <c r="E154" s="181"/>
      <c r="F154" s="182"/>
      <c r="G154" s="183">
        <f t="shared" si="17"/>
        <v>0</v>
      </c>
    </row>
    <row r="155" spans="1:14" x14ac:dyDescent="0.2">
      <c r="A155" s="188" t="s">
        <v>16</v>
      </c>
      <c r="B155" s="189" t="s">
        <v>218</v>
      </c>
      <c r="C155" s="190"/>
      <c r="D155" s="191"/>
      <c r="E155" s="192"/>
      <c r="F155" s="182"/>
      <c r="G155" s="183">
        <f t="shared" si="17"/>
        <v>0</v>
      </c>
    </row>
    <row r="156" spans="1:14" ht="13.5" x14ac:dyDescent="0.2">
      <c r="A156" s="184"/>
      <c r="B156" s="185" t="s">
        <v>457</v>
      </c>
      <c r="C156" s="186" t="s">
        <v>150</v>
      </c>
      <c r="D156" s="187">
        <v>15.12</v>
      </c>
      <c r="E156" s="181"/>
      <c r="F156" s="182"/>
      <c r="G156" s="183">
        <f t="shared" si="17"/>
        <v>0</v>
      </c>
      <c r="I156" s="22">
        <f>(25.8+11.075)*2*0.1</f>
        <v>7.375</v>
      </c>
      <c r="J156" s="22">
        <f>25.8*0.15*2</f>
        <v>7.74</v>
      </c>
      <c r="K156" s="22">
        <f>SUM(I156:J156)</f>
        <v>15.115</v>
      </c>
    </row>
    <row r="157" spans="1:14" x14ac:dyDescent="0.2">
      <c r="A157" s="188" t="s">
        <v>48</v>
      </c>
      <c r="B157" s="189" t="s">
        <v>458</v>
      </c>
      <c r="C157" s="186"/>
      <c r="D157" s="187"/>
      <c r="E157" s="181"/>
      <c r="F157" s="182"/>
      <c r="G157" s="183"/>
    </row>
    <row r="158" spans="1:14" ht="13.5" x14ac:dyDescent="0.2">
      <c r="A158" s="184"/>
      <c r="B158" s="185" t="s">
        <v>319</v>
      </c>
      <c r="C158" s="179" t="s">
        <v>152</v>
      </c>
      <c r="D158" s="187">
        <v>16.324000000000002</v>
      </c>
      <c r="E158" s="181"/>
      <c r="F158" s="182"/>
      <c r="G158" s="183">
        <f t="shared" ref="G158" si="18">(D158*E158)+(D158*F158)</f>
        <v>0</v>
      </c>
      <c r="I158" s="22">
        <f>4.42*2+3*2</f>
        <v>14.84</v>
      </c>
      <c r="J158" s="22">
        <f>I158*1.1</f>
        <v>16.324000000000002</v>
      </c>
    </row>
    <row r="159" spans="1:14" x14ac:dyDescent="0.2">
      <c r="A159" s="188" t="s">
        <v>460</v>
      </c>
      <c r="B159" s="189" t="s">
        <v>459</v>
      </c>
      <c r="C159" s="186"/>
      <c r="D159" s="187"/>
      <c r="E159" s="181"/>
      <c r="F159" s="182"/>
      <c r="G159" s="183"/>
    </row>
    <row r="160" spans="1:14" ht="13.5" x14ac:dyDescent="0.2">
      <c r="A160" s="184"/>
      <c r="B160" s="185" t="s">
        <v>326</v>
      </c>
      <c r="C160" s="179" t="s">
        <v>152</v>
      </c>
      <c r="D160" s="187">
        <v>20.149999999999999</v>
      </c>
      <c r="E160" s="181"/>
      <c r="F160" s="182"/>
      <c r="G160" s="183">
        <f t="shared" ref="G160" si="19">(D160*E160)+(D160*F160)</f>
        <v>0</v>
      </c>
      <c r="I160" s="22">
        <f>5.925*3.4</f>
        <v>20.145</v>
      </c>
    </row>
    <row r="161" spans="1:12" x14ac:dyDescent="0.2">
      <c r="A161" s="184"/>
      <c r="B161" s="185"/>
      <c r="C161" s="186"/>
      <c r="D161" s="187"/>
      <c r="E161" s="181"/>
      <c r="F161" s="182"/>
      <c r="G161" s="183"/>
    </row>
    <row r="162" spans="1:12" x14ac:dyDescent="0.2">
      <c r="A162" s="170" t="s">
        <v>57</v>
      </c>
      <c r="B162" s="171" t="s">
        <v>69</v>
      </c>
      <c r="C162" s="172"/>
      <c r="D162" s="173"/>
      <c r="E162" s="174"/>
      <c r="F162" s="175"/>
      <c r="G162" s="176"/>
    </row>
    <row r="163" spans="1:12" x14ac:dyDescent="0.2">
      <c r="A163" s="188" t="s">
        <v>166</v>
      </c>
      <c r="B163" s="189" t="s">
        <v>317</v>
      </c>
      <c r="C163" s="190"/>
      <c r="D163" s="191"/>
      <c r="E163" s="192"/>
      <c r="F163" s="193"/>
      <c r="G163" s="194"/>
    </row>
    <row r="164" spans="1:12" ht="13.5" x14ac:dyDescent="0.2">
      <c r="A164" s="184"/>
      <c r="B164" s="185" t="s">
        <v>319</v>
      </c>
      <c r="C164" s="179" t="s">
        <v>152</v>
      </c>
      <c r="D164" s="187">
        <v>55.02</v>
      </c>
      <c r="E164" s="181"/>
      <c r="F164" s="182"/>
      <c r="G164" s="183">
        <f t="shared" ref="G164:G171" si="20">(D164*E164)+(D164*F164)</f>
        <v>0</v>
      </c>
      <c r="I164" s="22">
        <f>22.6+25.8+2*2</f>
        <v>52.400000000000006</v>
      </c>
      <c r="J164" s="22">
        <f>I164*1.05</f>
        <v>55.02000000000001</v>
      </c>
    </row>
    <row r="165" spans="1:12" ht="13.5" x14ac:dyDescent="0.2">
      <c r="A165" s="184"/>
      <c r="B165" s="185" t="s">
        <v>320</v>
      </c>
      <c r="C165" s="179" t="s">
        <v>152</v>
      </c>
      <c r="D165" s="187">
        <v>8.7200000000000006</v>
      </c>
      <c r="E165" s="181"/>
      <c r="F165" s="182"/>
      <c r="G165" s="183">
        <f t="shared" si="20"/>
        <v>0</v>
      </c>
      <c r="I165" s="22">
        <f>8.3</f>
        <v>8.3000000000000007</v>
      </c>
      <c r="J165" s="22">
        <f>I165*1.05</f>
        <v>8.7150000000000016</v>
      </c>
    </row>
    <row r="166" spans="1:12" ht="13.5" x14ac:dyDescent="0.2">
      <c r="A166" s="184"/>
      <c r="B166" s="185" t="s">
        <v>321</v>
      </c>
      <c r="C166" s="179" t="s">
        <v>152</v>
      </c>
      <c r="D166" s="187">
        <v>30.24</v>
      </c>
      <c r="E166" s="181"/>
      <c r="F166" s="182"/>
      <c r="G166" s="183">
        <f t="shared" si="20"/>
        <v>0</v>
      </c>
      <c r="I166" s="22">
        <f>4.08*4+4.02*4</f>
        <v>32.4</v>
      </c>
      <c r="J166" s="22">
        <f>I166*0.9</f>
        <v>29.16</v>
      </c>
      <c r="K166" s="22">
        <f>8.3*0.13</f>
        <v>1.0790000000000002</v>
      </c>
      <c r="L166" s="22">
        <f>SUM(J166:K166)</f>
        <v>30.239000000000001</v>
      </c>
    </row>
    <row r="167" spans="1:12" ht="13.5" x14ac:dyDescent="0.2">
      <c r="A167" s="184"/>
      <c r="B167" s="185" t="s">
        <v>322</v>
      </c>
      <c r="C167" s="179" t="s">
        <v>152</v>
      </c>
      <c r="D167" s="187">
        <v>22.9</v>
      </c>
      <c r="E167" s="181"/>
      <c r="F167" s="182"/>
      <c r="G167" s="183">
        <f t="shared" si="20"/>
        <v>0</v>
      </c>
      <c r="I167" s="22">
        <f>25.4</f>
        <v>25.4</v>
      </c>
      <c r="J167" s="22">
        <f>I167*0.9</f>
        <v>22.86</v>
      </c>
    </row>
    <row r="168" spans="1:12" ht="13.5" x14ac:dyDescent="0.2">
      <c r="A168" s="184"/>
      <c r="B168" s="185" t="s">
        <v>323</v>
      </c>
      <c r="C168" s="179" t="s">
        <v>152</v>
      </c>
      <c r="D168" s="187">
        <v>3.3</v>
      </c>
      <c r="E168" s="181"/>
      <c r="F168" s="182"/>
      <c r="G168" s="183">
        <f t="shared" si="20"/>
        <v>0</v>
      </c>
      <c r="I168" s="22">
        <f>3</f>
        <v>3</v>
      </c>
      <c r="J168" s="22">
        <f>I168*1.1</f>
        <v>3.3000000000000003</v>
      </c>
    </row>
    <row r="169" spans="1:12" ht="13.5" x14ac:dyDescent="0.2">
      <c r="A169" s="184"/>
      <c r="B169" s="185" t="s">
        <v>324</v>
      </c>
      <c r="C169" s="179" t="s">
        <v>152</v>
      </c>
      <c r="D169" s="187">
        <v>20.46</v>
      </c>
      <c r="E169" s="181"/>
      <c r="F169" s="182"/>
      <c r="G169" s="183">
        <f t="shared" si="20"/>
        <v>0</v>
      </c>
      <c r="I169" s="22">
        <f>6.2*3</f>
        <v>18.600000000000001</v>
      </c>
      <c r="J169" s="22">
        <f>I169*1.1</f>
        <v>20.460000000000004</v>
      </c>
    </row>
    <row r="170" spans="1:12" x14ac:dyDescent="0.2">
      <c r="A170" s="188" t="s">
        <v>68</v>
      </c>
      <c r="B170" s="189" t="s">
        <v>318</v>
      </c>
      <c r="C170" s="190"/>
      <c r="D170" s="191"/>
      <c r="E170" s="192"/>
      <c r="F170" s="182"/>
      <c r="G170" s="183">
        <f t="shared" si="20"/>
        <v>0</v>
      </c>
    </row>
    <row r="171" spans="1:12" ht="13.5" x14ac:dyDescent="0.2">
      <c r="A171" s="184"/>
      <c r="B171" s="185" t="s">
        <v>325</v>
      </c>
      <c r="C171" s="179" t="s">
        <v>152</v>
      </c>
      <c r="D171" s="187">
        <v>248.9</v>
      </c>
      <c r="E171" s="181"/>
      <c r="F171" s="182"/>
      <c r="G171" s="183">
        <f t="shared" si="20"/>
        <v>0</v>
      </c>
      <c r="I171" s="22">
        <f>248.86</f>
        <v>248.86</v>
      </c>
    </row>
    <row r="172" spans="1:12" x14ac:dyDescent="0.2">
      <c r="A172" s="188" t="s">
        <v>71</v>
      </c>
      <c r="B172" s="189" t="s">
        <v>186</v>
      </c>
      <c r="C172" s="190"/>
      <c r="D172" s="191"/>
      <c r="E172" s="192"/>
      <c r="F172" s="193"/>
      <c r="G172" s="194"/>
    </row>
    <row r="173" spans="1:12" ht="13.5" x14ac:dyDescent="0.2">
      <c r="A173" s="184"/>
      <c r="B173" s="185" t="s">
        <v>506</v>
      </c>
      <c r="C173" s="179" t="s">
        <v>152</v>
      </c>
      <c r="D173" s="187">
        <v>71.92</v>
      </c>
      <c r="E173" s="181"/>
      <c r="F173" s="182"/>
      <c r="G173" s="183">
        <f t="shared" ref="G173:G175" si="21">(D173*E173)+(D173*F173)</f>
        <v>0</v>
      </c>
      <c r="I173" s="22">
        <f>0.2*4*3.1*29</f>
        <v>71.920000000000016</v>
      </c>
    </row>
    <row r="174" spans="1:12" ht="13.5" x14ac:dyDescent="0.2">
      <c r="A174" s="184"/>
      <c r="B174" s="185" t="s">
        <v>508</v>
      </c>
      <c r="C174" s="179" t="s">
        <v>152</v>
      </c>
      <c r="D174" s="187">
        <v>12.4</v>
      </c>
      <c r="E174" s="181"/>
      <c r="F174" s="182"/>
      <c r="G174" s="183">
        <f t="shared" si="21"/>
        <v>0</v>
      </c>
      <c r="I174" s="22">
        <f>0.5*2*3.1*4</f>
        <v>12.4</v>
      </c>
    </row>
    <row r="175" spans="1:12" ht="13.5" x14ac:dyDescent="0.2">
      <c r="A175" s="184"/>
      <c r="B175" s="185" t="s">
        <v>507</v>
      </c>
      <c r="C175" s="179" t="s">
        <v>152</v>
      </c>
      <c r="D175" s="187">
        <v>9.5399999999999991</v>
      </c>
      <c r="E175" s="181"/>
      <c r="F175" s="182"/>
      <c r="G175" s="183">
        <f t="shared" si="21"/>
        <v>0</v>
      </c>
      <c r="I175" s="22">
        <f>0.15*4*2.65*6</f>
        <v>9.5399999999999991</v>
      </c>
    </row>
    <row r="176" spans="1:12" x14ac:dyDescent="0.2">
      <c r="A176" s="184"/>
      <c r="B176" s="185"/>
      <c r="C176" s="186"/>
      <c r="D176" s="187"/>
      <c r="E176" s="181"/>
      <c r="F176" s="182"/>
      <c r="G176" s="183"/>
    </row>
    <row r="177" spans="1:11" x14ac:dyDescent="0.2">
      <c r="A177" s="170" t="s">
        <v>162</v>
      </c>
      <c r="B177" s="171" t="s">
        <v>295</v>
      </c>
      <c r="C177" s="172"/>
      <c r="D177" s="173"/>
      <c r="E177" s="174"/>
      <c r="F177" s="175"/>
      <c r="G177" s="176"/>
    </row>
    <row r="178" spans="1:11" x14ac:dyDescent="0.2">
      <c r="A178" s="188" t="s">
        <v>103</v>
      </c>
      <c r="B178" s="189" t="s">
        <v>310</v>
      </c>
      <c r="C178" s="190"/>
      <c r="D178" s="191"/>
      <c r="E178" s="192"/>
      <c r="F178" s="193"/>
      <c r="G178" s="194"/>
    </row>
    <row r="179" spans="1:11" ht="13.5" x14ac:dyDescent="0.2">
      <c r="A179" s="184"/>
      <c r="B179" s="185" t="s">
        <v>329</v>
      </c>
      <c r="C179" s="179" t="s">
        <v>152</v>
      </c>
      <c r="D179" s="187">
        <v>22.32</v>
      </c>
      <c r="E179" s="181"/>
      <c r="F179" s="182"/>
      <c r="G179" s="183">
        <f t="shared" ref="G179:G181" si="22">(D179*E179)+(D179*F179)</f>
        <v>0</v>
      </c>
      <c r="I179" s="22">
        <f>6.2*3</f>
        <v>18.600000000000001</v>
      </c>
      <c r="J179" s="22">
        <f>I179*1.2</f>
        <v>22.32</v>
      </c>
    </row>
    <row r="180" spans="1:11" ht="13.5" x14ac:dyDescent="0.2">
      <c r="A180" s="184"/>
      <c r="B180" s="185" t="s">
        <v>328</v>
      </c>
      <c r="C180" s="179" t="s">
        <v>152</v>
      </c>
      <c r="D180" s="187">
        <v>7.2</v>
      </c>
      <c r="E180" s="181"/>
      <c r="F180" s="182"/>
      <c r="G180" s="183">
        <f t="shared" si="22"/>
        <v>0</v>
      </c>
      <c r="I180" s="22">
        <f>3*2</f>
        <v>6</v>
      </c>
      <c r="J180" s="22">
        <f>I180*1.2</f>
        <v>7.1999999999999993</v>
      </c>
    </row>
    <row r="181" spans="1:11" ht="14.25" thickBot="1" x14ac:dyDescent="0.25">
      <c r="A181" s="195"/>
      <c r="B181" s="196" t="s">
        <v>327</v>
      </c>
      <c r="C181" s="197" t="s">
        <v>152</v>
      </c>
      <c r="D181" s="198">
        <v>144.54</v>
      </c>
      <c r="E181" s="199"/>
      <c r="F181" s="200"/>
      <c r="G181" s="201">
        <f t="shared" si="22"/>
        <v>0</v>
      </c>
      <c r="I181" s="22">
        <f>24*3+4.08*6+4.02*6+1.8*6</f>
        <v>131.4</v>
      </c>
      <c r="J181" s="22">
        <f>I181*1.1</f>
        <v>144.54000000000002</v>
      </c>
    </row>
    <row r="182" spans="1:11" x14ac:dyDescent="0.2">
      <c r="A182" s="91"/>
      <c r="B182" s="92"/>
      <c r="C182" s="98"/>
      <c r="D182" s="63"/>
      <c r="E182" s="69"/>
      <c r="F182" s="49"/>
      <c r="G182" s="75"/>
    </row>
    <row r="183" spans="1:11" x14ac:dyDescent="0.2">
      <c r="A183" s="87" t="s">
        <v>100</v>
      </c>
      <c r="B183" s="94" t="s">
        <v>11</v>
      </c>
      <c r="C183" s="90"/>
      <c r="D183" s="88"/>
      <c r="E183" s="89"/>
      <c r="F183" s="88"/>
      <c r="G183" s="95"/>
    </row>
    <row r="184" spans="1:11" ht="48" customHeight="1" x14ac:dyDescent="0.2">
      <c r="A184" s="81"/>
      <c r="B184" s="76" t="s">
        <v>101</v>
      </c>
      <c r="C184" s="76"/>
      <c r="D184" s="76"/>
      <c r="E184" s="76"/>
      <c r="F184" s="76"/>
      <c r="G184" s="97"/>
    </row>
    <row r="185" spans="1:11" ht="37.5" customHeight="1" x14ac:dyDescent="0.2">
      <c r="A185" s="77"/>
      <c r="B185" s="76" t="s">
        <v>102</v>
      </c>
      <c r="C185" s="76"/>
      <c r="D185" s="76"/>
      <c r="E185" s="76"/>
      <c r="F185" s="76"/>
      <c r="G185" s="97"/>
    </row>
    <row r="186" spans="1:11" ht="48" customHeight="1" x14ac:dyDescent="0.2">
      <c r="A186" s="81"/>
      <c r="B186" s="76" t="s">
        <v>311</v>
      </c>
      <c r="C186" s="76"/>
      <c r="D186" s="76"/>
      <c r="E186" s="76"/>
      <c r="F186" s="76"/>
      <c r="G186" s="97"/>
    </row>
    <row r="187" spans="1:11" x14ac:dyDescent="0.2">
      <c r="A187" s="202" t="s">
        <v>103</v>
      </c>
      <c r="B187" s="203" t="s">
        <v>247</v>
      </c>
      <c r="C187" s="213"/>
      <c r="D187" s="214"/>
      <c r="E187" s="215"/>
      <c r="F187" s="216"/>
      <c r="G187" s="217"/>
    </row>
    <row r="188" spans="1:11" x14ac:dyDescent="0.2">
      <c r="A188" s="170" t="s">
        <v>177</v>
      </c>
      <c r="B188" s="171" t="s">
        <v>64</v>
      </c>
      <c r="C188" s="218"/>
      <c r="D188" s="219"/>
      <c r="E188" s="220"/>
      <c r="F188" s="221"/>
      <c r="G188" s="222"/>
    </row>
    <row r="189" spans="1:11" x14ac:dyDescent="0.2">
      <c r="A189" s="184"/>
      <c r="B189" s="223" t="s">
        <v>514</v>
      </c>
      <c r="C189" s="186" t="s">
        <v>142</v>
      </c>
      <c r="D189" s="187">
        <f>I191/1000</f>
        <v>0.60206400000000004</v>
      </c>
      <c r="E189" s="224"/>
      <c r="F189" s="182"/>
      <c r="G189" s="183">
        <f t="shared" ref="G189:G191" si="23">(D189*E189)+(D189*F189)</f>
        <v>0</v>
      </c>
    </row>
    <row r="190" spans="1:11" x14ac:dyDescent="0.2">
      <c r="A190" s="184"/>
      <c r="B190" s="185" t="s">
        <v>249</v>
      </c>
      <c r="C190" s="186" t="s">
        <v>8</v>
      </c>
      <c r="D190" s="187">
        <v>113</v>
      </c>
      <c r="E190" s="224"/>
      <c r="F190" s="182"/>
      <c r="G190" s="183">
        <f t="shared" si="23"/>
        <v>0</v>
      </c>
      <c r="I190" s="33">
        <f>D190*0.888*6</f>
        <v>602.06400000000008</v>
      </c>
      <c r="J190" s="22">
        <f>14+24+20+10+3+10+8+24</f>
        <v>113</v>
      </c>
      <c r="K190" s="33"/>
    </row>
    <row r="191" spans="1:11" x14ac:dyDescent="0.2">
      <c r="A191" s="184"/>
      <c r="B191" s="185" t="s">
        <v>14</v>
      </c>
      <c r="C191" s="186" t="s">
        <v>9</v>
      </c>
      <c r="D191" s="187">
        <f>D189*20</f>
        <v>12.04128</v>
      </c>
      <c r="E191" s="224"/>
      <c r="F191" s="182"/>
      <c r="G191" s="183">
        <f t="shared" si="23"/>
        <v>0</v>
      </c>
      <c r="I191" s="33">
        <f>SUM(I189:I190)</f>
        <v>602.06400000000008</v>
      </c>
      <c r="J191" s="33"/>
    </row>
    <row r="192" spans="1:11" x14ac:dyDescent="0.2">
      <c r="A192" s="184"/>
      <c r="B192" s="223" t="s">
        <v>330</v>
      </c>
      <c r="C192" s="186" t="s">
        <v>142</v>
      </c>
      <c r="D192" s="187">
        <f>I195/1000</f>
        <v>0.8963040000000001</v>
      </c>
      <c r="E192" s="224"/>
      <c r="F192" s="182"/>
      <c r="G192" s="183">
        <f t="shared" ref="G192:G195" si="24">(D192*E192)+(D192*F192)</f>
        <v>0</v>
      </c>
      <c r="J192" s="33"/>
    </row>
    <row r="193" spans="1:14" x14ac:dyDescent="0.2">
      <c r="A193" s="184"/>
      <c r="B193" s="185" t="s">
        <v>248</v>
      </c>
      <c r="C193" s="186" t="s">
        <v>8</v>
      </c>
      <c r="D193" s="187">
        <v>76</v>
      </c>
      <c r="E193" s="224"/>
      <c r="F193" s="182"/>
      <c r="G193" s="183">
        <f t="shared" si="24"/>
        <v>0</v>
      </c>
      <c r="I193" s="33">
        <f>D193*1.58*6</f>
        <v>720.48</v>
      </c>
      <c r="J193" s="33">
        <f>25.8*3+10.7*2</f>
        <v>98.800000000000011</v>
      </c>
      <c r="K193" s="51">
        <f>J193/0.15</f>
        <v>658.66666666666674</v>
      </c>
      <c r="L193" s="51">
        <f>K193/5</f>
        <v>131.73333333333335</v>
      </c>
    </row>
    <row r="194" spans="1:14" x14ac:dyDescent="0.2">
      <c r="A194" s="184"/>
      <c r="B194" s="185" t="s">
        <v>251</v>
      </c>
      <c r="C194" s="186" t="s">
        <v>8</v>
      </c>
      <c r="D194" s="187">
        <v>132</v>
      </c>
      <c r="E194" s="224"/>
      <c r="F194" s="182"/>
      <c r="G194" s="183">
        <f t="shared" si="24"/>
        <v>0</v>
      </c>
      <c r="I194" s="33">
        <f>0.222*D194*6</f>
        <v>175.82400000000001</v>
      </c>
      <c r="J194" s="33"/>
    </row>
    <row r="195" spans="1:14" x14ac:dyDescent="0.2">
      <c r="A195" s="184"/>
      <c r="B195" s="185" t="s">
        <v>14</v>
      </c>
      <c r="C195" s="186" t="s">
        <v>9</v>
      </c>
      <c r="D195" s="187">
        <f>D192*20</f>
        <v>17.926080000000002</v>
      </c>
      <c r="E195" s="224"/>
      <c r="F195" s="182"/>
      <c r="G195" s="183">
        <f t="shared" si="24"/>
        <v>0</v>
      </c>
      <c r="I195" s="33">
        <f>SUM(I193:I194)</f>
        <v>896.30400000000009</v>
      </c>
      <c r="J195" s="33"/>
    </row>
    <row r="196" spans="1:14" x14ac:dyDescent="0.2">
      <c r="A196" s="184"/>
      <c r="B196" s="223" t="s">
        <v>331</v>
      </c>
      <c r="C196" s="186" t="s">
        <v>142</v>
      </c>
      <c r="D196" s="187">
        <f>I199/1000</f>
        <v>0.83001600000000009</v>
      </c>
      <c r="E196" s="224"/>
      <c r="F196" s="182"/>
      <c r="G196" s="183">
        <f t="shared" ref="G196:G199" si="25">(D196*E196)+(D196*F196)</f>
        <v>0</v>
      </c>
      <c r="J196" s="33"/>
    </row>
    <row r="197" spans="1:14" x14ac:dyDescent="0.2">
      <c r="A197" s="184"/>
      <c r="B197" s="185" t="s">
        <v>248</v>
      </c>
      <c r="C197" s="186" t="s">
        <v>8</v>
      </c>
      <c r="D197" s="187">
        <v>78</v>
      </c>
      <c r="E197" s="224"/>
      <c r="F197" s="182"/>
      <c r="G197" s="183">
        <f t="shared" si="25"/>
        <v>0</v>
      </c>
      <c r="I197" s="33">
        <f>D197*1.58*6</f>
        <v>739.44</v>
      </c>
      <c r="J197" s="33">
        <f>8.7*4+25.8</f>
        <v>60.599999999999994</v>
      </c>
      <c r="K197" s="51">
        <f>J197/0.15</f>
        <v>404</v>
      </c>
      <c r="L197" s="51">
        <f>K197/6</f>
        <v>67.333333333333329</v>
      </c>
    </row>
    <row r="198" spans="1:14" x14ac:dyDescent="0.2">
      <c r="A198" s="184"/>
      <c r="B198" s="185" t="s">
        <v>251</v>
      </c>
      <c r="C198" s="186" t="s">
        <v>8</v>
      </c>
      <c r="D198" s="187">
        <v>68</v>
      </c>
      <c r="E198" s="224"/>
      <c r="F198" s="182"/>
      <c r="G198" s="183">
        <f t="shared" si="25"/>
        <v>0</v>
      </c>
      <c r="I198" s="33">
        <f>0.222*D198*6</f>
        <v>90.575999999999993</v>
      </c>
      <c r="J198" s="33"/>
    </row>
    <row r="199" spans="1:14" x14ac:dyDescent="0.2">
      <c r="A199" s="184"/>
      <c r="B199" s="185" t="s">
        <v>14</v>
      </c>
      <c r="C199" s="186" t="s">
        <v>9</v>
      </c>
      <c r="D199" s="187">
        <f>D196*20</f>
        <v>16.600320000000004</v>
      </c>
      <c r="E199" s="224"/>
      <c r="F199" s="182"/>
      <c r="G199" s="183">
        <f t="shared" si="25"/>
        <v>0</v>
      </c>
      <c r="I199" s="33">
        <f>SUM(I197:I198)</f>
        <v>830.01600000000008</v>
      </c>
      <c r="J199" s="33"/>
    </row>
    <row r="200" spans="1:14" x14ac:dyDescent="0.2">
      <c r="A200" s="170" t="s">
        <v>143</v>
      </c>
      <c r="B200" s="171" t="s">
        <v>67</v>
      </c>
      <c r="C200" s="218"/>
      <c r="D200" s="219"/>
      <c r="E200" s="220"/>
      <c r="F200" s="221"/>
      <c r="G200" s="222">
        <f t="shared" ref="G200" si="26">(D200*E200)+(D200*F200)</f>
        <v>0</v>
      </c>
    </row>
    <row r="201" spans="1:14" x14ac:dyDescent="0.2">
      <c r="A201" s="225" t="s">
        <v>177</v>
      </c>
      <c r="B201" s="226" t="s">
        <v>186</v>
      </c>
      <c r="C201" s="227"/>
      <c r="D201" s="228"/>
      <c r="E201" s="229"/>
      <c r="F201" s="182"/>
      <c r="G201" s="183"/>
    </row>
    <row r="202" spans="1:14" x14ac:dyDescent="0.2">
      <c r="A202" s="184" t="s">
        <v>201</v>
      </c>
      <c r="B202" s="185" t="s">
        <v>461</v>
      </c>
      <c r="C202" s="186" t="s">
        <v>142</v>
      </c>
      <c r="D202" s="187">
        <f>I205/1000</f>
        <v>1.2049080000000001</v>
      </c>
      <c r="E202" s="224"/>
      <c r="F202" s="182"/>
      <c r="G202" s="183">
        <f t="shared" ref="G202" si="27">(D202*E202)+(D202*F202)</f>
        <v>0</v>
      </c>
    </row>
    <row r="203" spans="1:14" x14ac:dyDescent="0.2">
      <c r="A203" s="188"/>
      <c r="B203" s="185" t="s">
        <v>248</v>
      </c>
      <c r="C203" s="186" t="s">
        <v>8</v>
      </c>
      <c r="D203" s="187">
        <v>116</v>
      </c>
      <c r="E203" s="224"/>
      <c r="F203" s="182"/>
      <c r="G203" s="183">
        <f t="shared" ref="G203:G205" si="28">(D203*E203)+(D203*F203)</f>
        <v>0</v>
      </c>
      <c r="I203" s="33">
        <f>D203*1.58*6</f>
        <v>1099.68</v>
      </c>
      <c r="J203" s="22">
        <f>4*29</f>
        <v>116</v>
      </c>
      <c r="L203" s="22">
        <f>4.525/0.15</f>
        <v>30.166666666666671</v>
      </c>
      <c r="M203" s="22">
        <f>30*29</f>
        <v>870</v>
      </c>
      <c r="N203" s="22">
        <f>M203/11</f>
        <v>79.090909090909093</v>
      </c>
    </row>
    <row r="204" spans="1:14" x14ac:dyDescent="0.2">
      <c r="A204" s="184"/>
      <c r="B204" s="185" t="s">
        <v>251</v>
      </c>
      <c r="C204" s="186" t="s">
        <v>8</v>
      </c>
      <c r="D204" s="187">
        <v>79</v>
      </c>
      <c r="E204" s="224"/>
      <c r="F204" s="182"/>
      <c r="G204" s="183">
        <f t="shared" si="28"/>
        <v>0</v>
      </c>
      <c r="I204" s="33">
        <f>0.222*D204*6</f>
        <v>105.22800000000001</v>
      </c>
    </row>
    <row r="205" spans="1:14" x14ac:dyDescent="0.2">
      <c r="A205" s="230"/>
      <c r="B205" s="231" t="s">
        <v>14</v>
      </c>
      <c r="C205" s="232" t="s">
        <v>9</v>
      </c>
      <c r="D205" s="233">
        <f>D202*20</f>
        <v>24.09816</v>
      </c>
      <c r="E205" s="234"/>
      <c r="F205" s="235"/>
      <c r="G205" s="236">
        <f t="shared" si="28"/>
        <v>0</v>
      </c>
      <c r="I205" s="33">
        <f>SUM(I203:I204)</f>
        <v>1204.9080000000001</v>
      </c>
      <c r="J205" s="33"/>
    </row>
    <row r="206" spans="1:14" x14ac:dyDescent="0.2">
      <c r="A206" s="184" t="s">
        <v>202</v>
      </c>
      <c r="B206" s="185" t="s">
        <v>463</v>
      </c>
      <c r="C206" s="186" t="s">
        <v>142</v>
      </c>
      <c r="D206" s="187">
        <f>I209/1000</f>
        <v>0.24883200000000003</v>
      </c>
      <c r="E206" s="224"/>
      <c r="F206" s="182"/>
      <c r="G206" s="183">
        <f t="shared" ref="G206:G213" si="29">(D206*E206)+(D206*F206)</f>
        <v>0</v>
      </c>
      <c r="I206" s="33"/>
      <c r="J206" s="33"/>
    </row>
    <row r="207" spans="1:14" x14ac:dyDescent="0.2">
      <c r="A207" s="184"/>
      <c r="B207" s="185" t="s">
        <v>248</v>
      </c>
      <c r="C207" s="186" t="s">
        <v>8</v>
      </c>
      <c r="D207" s="187">
        <v>24</v>
      </c>
      <c r="E207" s="224"/>
      <c r="F207" s="182"/>
      <c r="G207" s="183">
        <f t="shared" si="29"/>
        <v>0</v>
      </c>
      <c r="I207" s="33">
        <f>D207*1.58*6</f>
        <v>227.52</v>
      </c>
      <c r="J207" s="22">
        <f>6*4</f>
        <v>24</v>
      </c>
      <c r="L207" s="22">
        <f>31*4</f>
        <v>124</v>
      </c>
    </row>
    <row r="208" spans="1:14" x14ac:dyDescent="0.2">
      <c r="A208" s="184"/>
      <c r="B208" s="185" t="s">
        <v>251</v>
      </c>
      <c r="C208" s="186" t="s">
        <v>8</v>
      </c>
      <c r="D208" s="187">
        <v>16</v>
      </c>
      <c r="E208" s="224"/>
      <c r="F208" s="182"/>
      <c r="G208" s="183">
        <f t="shared" si="29"/>
        <v>0</v>
      </c>
      <c r="I208" s="33">
        <f>0.222*D208*6</f>
        <v>21.312000000000001</v>
      </c>
    </row>
    <row r="209" spans="1:13" x14ac:dyDescent="0.2">
      <c r="A209" s="184"/>
      <c r="B209" s="185" t="s">
        <v>14</v>
      </c>
      <c r="C209" s="186" t="s">
        <v>9</v>
      </c>
      <c r="D209" s="187">
        <f>D206*20</f>
        <v>4.9766400000000006</v>
      </c>
      <c r="E209" s="224"/>
      <c r="F209" s="182"/>
      <c r="G209" s="183">
        <f t="shared" si="29"/>
        <v>0</v>
      </c>
      <c r="I209" s="33">
        <f>SUM(I207:I208)</f>
        <v>248.83200000000002</v>
      </c>
      <c r="J209" s="33"/>
    </row>
    <row r="210" spans="1:13" x14ac:dyDescent="0.2">
      <c r="A210" s="184" t="s">
        <v>204</v>
      </c>
      <c r="B210" s="185" t="s">
        <v>462</v>
      </c>
      <c r="C210" s="186" t="s">
        <v>142</v>
      </c>
      <c r="D210" s="187">
        <f>I213/1000</f>
        <v>0.10349999999999999</v>
      </c>
      <c r="E210" s="224"/>
      <c r="F210" s="182"/>
      <c r="G210" s="183">
        <f t="shared" si="29"/>
        <v>0</v>
      </c>
      <c r="I210" s="33"/>
      <c r="J210" s="33"/>
    </row>
    <row r="211" spans="1:13" x14ac:dyDescent="0.2">
      <c r="A211" s="184"/>
      <c r="B211" s="185" t="s">
        <v>250</v>
      </c>
      <c r="C211" s="186" t="s">
        <v>8</v>
      </c>
      <c r="D211" s="187">
        <v>24</v>
      </c>
      <c r="E211" s="224"/>
      <c r="F211" s="182"/>
      <c r="G211" s="183">
        <f t="shared" si="29"/>
        <v>0</v>
      </c>
      <c r="I211" s="33">
        <f>D211*0.617*6</f>
        <v>88.847999999999999</v>
      </c>
      <c r="J211" s="33">
        <f>33*6</f>
        <v>198</v>
      </c>
      <c r="K211" s="51">
        <f>J211/18</f>
        <v>11</v>
      </c>
    </row>
    <row r="212" spans="1:13" x14ac:dyDescent="0.2">
      <c r="A212" s="184"/>
      <c r="B212" s="185" t="s">
        <v>251</v>
      </c>
      <c r="C212" s="186" t="s">
        <v>8</v>
      </c>
      <c r="D212" s="187">
        <v>11</v>
      </c>
      <c r="E212" s="224"/>
      <c r="F212" s="182"/>
      <c r="G212" s="183">
        <f t="shared" si="29"/>
        <v>0</v>
      </c>
      <c r="I212" s="33">
        <f>0.222*D212*6</f>
        <v>14.652000000000001</v>
      </c>
      <c r="J212" s="33"/>
    </row>
    <row r="213" spans="1:13" x14ac:dyDescent="0.2">
      <c r="A213" s="184"/>
      <c r="B213" s="185" t="s">
        <v>14</v>
      </c>
      <c r="C213" s="186" t="s">
        <v>9</v>
      </c>
      <c r="D213" s="187">
        <f>D210*20</f>
        <v>2.0699999999999998</v>
      </c>
      <c r="E213" s="224"/>
      <c r="F213" s="182"/>
      <c r="G213" s="183">
        <f t="shared" si="29"/>
        <v>0</v>
      </c>
      <c r="I213" s="33">
        <f>SUM(I211:I212)</f>
        <v>103.5</v>
      </c>
      <c r="J213" s="33"/>
    </row>
    <row r="214" spans="1:13" x14ac:dyDescent="0.2">
      <c r="A214" s="225" t="s">
        <v>178</v>
      </c>
      <c r="B214" s="226" t="s">
        <v>215</v>
      </c>
      <c r="C214" s="227" t="s">
        <v>142</v>
      </c>
      <c r="D214" s="228">
        <f>I216/1000</f>
        <v>0.42943200000000004</v>
      </c>
      <c r="E214" s="229"/>
      <c r="F214" s="182"/>
      <c r="G214" s="183">
        <f t="shared" ref="G214:G216" si="30">(D214*E214)+(D214*F214)</f>
        <v>0</v>
      </c>
      <c r="H214" s="41"/>
      <c r="I214" s="36"/>
    </row>
    <row r="215" spans="1:13" x14ac:dyDescent="0.2">
      <c r="A215" s="230" t="s">
        <v>189</v>
      </c>
      <c r="B215" s="185" t="s">
        <v>250</v>
      </c>
      <c r="C215" s="232" t="s">
        <v>8</v>
      </c>
      <c r="D215" s="233">
        <v>116</v>
      </c>
      <c r="E215" s="234"/>
      <c r="F215" s="235"/>
      <c r="G215" s="183">
        <f t="shared" si="30"/>
        <v>0</v>
      </c>
      <c r="H215" s="41"/>
      <c r="I215" s="33">
        <f>0.617*D215*6</f>
        <v>429.43200000000002</v>
      </c>
    </row>
    <row r="216" spans="1:13" x14ac:dyDescent="0.2">
      <c r="A216" s="230"/>
      <c r="B216" s="231" t="s">
        <v>14</v>
      </c>
      <c r="C216" s="232" t="s">
        <v>9</v>
      </c>
      <c r="D216" s="233">
        <f>D214*20</f>
        <v>8.5886400000000016</v>
      </c>
      <c r="E216" s="234"/>
      <c r="F216" s="235"/>
      <c r="G216" s="183">
        <f t="shared" si="30"/>
        <v>0</v>
      </c>
      <c r="H216" s="41"/>
      <c r="I216" s="33">
        <f>SUM(I214:I215)</f>
        <v>429.43200000000002</v>
      </c>
    </row>
    <row r="217" spans="1:13" x14ac:dyDescent="0.2">
      <c r="A217" s="188" t="s">
        <v>191</v>
      </c>
      <c r="B217" s="189" t="s">
        <v>233</v>
      </c>
      <c r="C217" s="190" t="s">
        <v>142</v>
      </c>
      <c r="D217" s="191">
        <f>I219/1000</f>
        <v>1.2364680000000001</v>
      </c>
      <c r="E217" s="192"/>
      <c r="F217" s="182"/>
      <c r="G217" s="183">
        <f t="shared" ref="G217:G219" si="31">(D217*E217)+(D217*F217)</f>
        <v>0</v>
      </c>
    </row>
    <row r="218" spans="1:13" x14ac:dyDescent="0.2">
      <c r="A218" s="188"/>
      <c r="B218" s="185" t="s">
        <v>413</v>
      </c>
      <c r="C218" s="186" t="s">
        <v>8</v>
      </c>
      <c r="D218" s="187">
        <v>334</v>
      </c>
      <c r="E218" s="224"/>
      <c r="F218" s="182"/>
      <c r="G218" s="183">
        <f t="shared" si="31"/>
        <v>0</v>
      </c>
      <c r="I218" s="33">
        <f>0.617*D218*6</f>
        <v>1236.4680000000001</v>
      </c>
      <c r="K218" s="22">
        <f>I111/0.1</f>
        <v>285.73500000000001</v>
      </c>
      <c r="L218" s="22">
        <f>K218*7</f>
        <v>2000.145</v>
      </c>
      <c r="M218" s="22">
        <f>L218/6</f>
        <v>333.35750000000002</v>
      </c>
    </row>
    <row r="219" spans="1:13" x14ac:dyDescent="0.2">
      <c r="A219" s="184"/>
      <c r="B219" s="185" t="s">
        <v>14</v>
      </c>
      <c r="C219" s="186" t="s">
        <v>9</v>
      </c>
      <c r="D219" s="187">
        <f>D217*20</f>
        <v>24.729360000000003</v>
      </c>
      <c r="E219" s="224"/>
      <c r="F219" s="182"/>
      <c r="G219" s="183">
        <f t="shared" si="31"/>
        <v>0</v>
      </c>
      <c r="I219" s="33">
        <f>SUM(I217:I218)</f>
        <v>1236.4680000000001</v>
      </c>
    </row>
    <row r="220" spans="1:13" x14ac:dyDescent="0.2">
      <c r="A220" s="225" t="s">
        <v>192</v>
      </c>
      <c r="B220" s="226" t="s">
        <v>464</v>
      </c>
      <c r="C220" s="227"/>
      <c r="D220" s="228"/>
      <c r="E220" s="229"/>
      <c r="F220" s="182"/>
      <c r="G220" s="183"/>
      <c r="I220" s="33"/>
    </row>
    <row r="221" spans="1:13" x14ac:dyDescent="0.2">
      <c r="A221" s="184" t="s">
        <v>201</v>
      </c>
      <c r="B221" s="185" t="s">
        <v>319</v>
      </c>
      <c r="C221" s="186" t="s">
        <v>142</v>
      </c>
      <c r="D221" s="187">
        <f>I224/1000</f>
        <v>0.22556400000000001</v>
      </c>
      <c r="E221" s="224"/>
      <c r="F221" s="182"/>
      <c r="G221" s="183">
        <f t="shared" ref="G221:G227" si="32">(D221*E221)+(D221*F221)</f>
        <v>0</v>
      </c>
    </row>
    <row r="222" spans="1:13" x14ac:dyDescent="0.2">
      <c r="A222" s="188"/>
      <c r="B222" s="185" t="s">
        <v>248</v>
      </c>
      <c r="C222" s="186" t="s">
        <v>8</v>
      </c>
      <c r="D222" s="187">
        <v>20</v>
      </c>
      <c r="E222" s="224"/>
      <c r="F222" s="182"/>
      <c r="G222" s="183">
        <f t="shared" si="32"/>
        <v>0</v>
      </c>
      <c r="I222" s="33">
        <f>D222*1.58*6</f>
        <v>189.60000000000002</v>
      </c>
      <c r="J222" s="22">
        <f>8.7+4.42+3.4+3.4</f>
        <v>19.919999999999998</v>
      </c>
      <c r="K222" s="22">
        <f>J222/0.15</f>
        <v>132.79999999999998</v>
      </c>
      <c r="L222" s="22">
        <f>K222/5</f>
        <v>26.559999999999995</v>
      </c>
    </row>
    <row r="223" spans="1:13" x14ac:dyDescent="0.2">
      <c r="A223" s="184"/>
      <c r="B223" s="185" t="s">
        <v>251</v>
      </c>
      <c r="C223" s="186" t="s">
        <v>8</v>
      </c>
      <c r="D223" s="187">
        <v>27</v>
      </c>
      <c r="E223" s="224"/>
      <c r="F223" s="182"/>
      <c r="G223" s="183">
        <f t="shared" si="32"/>
        <v>0</v>
      </c>
      <c r="I223" s="33">
        <f>0.222*D223*6</f>
        <v>35.963999999999999</v>
      </c>
    </row>
    <row r="224" spans="1:13" x14ac:dyDescent="0.2">
      <c r="A224" s="184"/>
      <c r="B224" s="185" t="s">
        <v>14</v>
      </c>
      <c r="C224" s="186" t="s">
        <v>9</v>
      </c>
      <c r="D224" s="187">
        <f>D221*20</f>
        <v>4.5112800000000002</v>
      </c>
      <c r="E224" s="224"/>
      <c r="F224" s="182"/>
      <c r="G224" s="183">
        <f t="shared" si="32"/>
        <v>0</v>
      </c>
      <c r="I224" s="33">
        <f>SUM(I222:I223)</f>
        <v>225.56400000000002</v>
      </c>
    </row>
    <row r="225" spans="1:13" x14ac:dyDescent="0.2">
      <c r="A225" s="225" t="s">
        <v>193</v>
      </c>
      <c r="B225" s="226" t="s">
        <v>459</v>
      </c>
      <c r="C225" s="227" t="s">
        <v>142</v>
      </c>
      <c r="D225" s="228">
        <f>I227/1000</f>
        <v>0.34798800000000002</v>
      </c>
      <c r="E225" s="229"/>
      <c r="F225" s="182"/>
      <c r="G225" s="183">
        <f t="shared" si="32"/>
        <v>0</v>
      </c>
      <c r="H225" s="41"/>
      <c r="I225" s="36"/>
    </row>
    <row r="226" spans="1:13" x14ac:dyDescent="0.2">
      <c r="A226" s="230" t="s">
        <v>189</v>
      </c>
      <c r="B226" s="185" t="s">
        <v>250</v>
      </c>
      <c r="C226" s="232" t="s">
        <v>8</v>
      </c>
      <c r="D226" s="233">
        <v>94</v>
      </c>
      <c r="E226" s="234"/>
      <c r="F226" s="235"/>
      <c r="G226" s="183">
        <f t="shared" si="32"/>
        <v>0</v>
      </c>
      <c r="H226" s="41"/>
      <c r="I226" s="33">
        <f>0.617*D226*6</f>
        <v>347.988</v>
      </c>
      <c r="J226" s="22">
        <f>5.925*3.4</f>
        <v>20.145</v>
      </c>
      <c r="K226" s="22">
        <f>J226*14*2</f>
        <v>564.05999999999995</v>
      </c>
      <c r="L226" s="22">
        <f>K226/6</f>
        <v>94.009999999999991</v>
      </c>
    </row>
    <row r="227" spans="1:13" x14ac:dyDescent="0.2">
      <c r="A227" s="230"/>
      <c r="B227" s="231" t="s">
        <v>14</v>
      </c>
      <c r="C227" s="232" t="s">
        <v>9</v>
      </c>
      <c r="D227" s="233">
        <f>D225*20</f>
        <v>6.9597600000000002</v>
      </c>
      <c r="E227" s="234"/>
      <c r="F227" s="235"/>
      <c r="G227" s="183">
        <f t="shared" si="32"/>
        <v>0</v>
      </c>
      <c r="H227" s="41"/>
      <c r="I227" s="33">
        <f>SUM(I225:I226)</f>
        <v>347.988</v>
      </c>
    </row>
    <row r="228" spans="1:13" x14ac:dyDescent="0.2">
      <c r="A228" s="230"/>
      <c r="B228" s="231"/>
      <c r="C228" s="232"/>
      <c r="D228" s="233"/>
      <c r="E228" s="234"/>
      <c r="F228" s="235"/>
      <c r="G228" s="183"/>
      <c r="H228" s="41"/>
      <c r="I228" s="33"/>
    </row>
    <row r="229" spans="1:13" x14ac:dyDescent="0.2">
      <c r="A229" s="230"/>
      <c r="B229" s="231"/>
      <c r="C229" s="232"/>
      <c r="D229" s="233"/>
      <c r="E229" s="234"/>
      <c r="F229" s="235"/>
      <c r="G229" s="183"/>
      <c r="H229" s="41"/>
      <c r="I229" s="33"/>
    </row>
    <row r="230" spans="1:13" x14ac:dyDescent="0.2">
      <c r="A230" s="230"/>
      <c r="B230" s="231"/>
      <c r="C230" s="232"/>
      <c r="D230" s="233"/>
      <c r="E230" s="234"/>
      <c r="F230" s="235"/>
      <c r="G230" s="183"/>
      <c r="H230" s="41"/>
      <c r="I230" s="33"/>
    </row>
    <row r="231" spans="1:13" ht="12.75" thickBot="1" x14ac:dyDescent="0.25">
      <c r="A231" s="246"/>
      <c r="B231" s="247"/>
      <c r="C231" s="248"/>
      <c r="D231" s="249"/>
      <c r="E231" s="250"/>
      <c r="F231" s="251"/>
      <c r="G231" s="201"/>
      <c r="H231" s="41"/>
      <c r="I231" s="33"/>
    </row>
    <row r="232" spans="1:13" x14ac:dyDescent="0.2">
      <c r="A232" s="230"/>
      <c r="B232" s="231"/>
      <c r="C232" s="232"/>
      <c r="D232" s="233"/>
      <c r="E232" s="234"/>
      <c r="F232" s="235"/>
      <c r="G232" s="183"/>
      <c r="I232" s="33"/>
    </row>
    <row r="233" spans="1:13" x14ac:dyDescent="0.2">
      <c r="A233" s="170" t="s">
        <v>144</v>
      </c>
      <c r="B233" s="171" t="s">
        <v>69</v>
      </c>
      <c r="C233" s="218"/>
      <c r="D233" s="219"/>
      <c r="E233" s="220"/>
      <c r="F233" s="221"/>
      <c r="G233" s="222">
        <f t="shared" ref="G233" si="33">(D233*E233)+(D233*F233)</f>
        <v>0</v>
      </c>
    </row>
    <row r="234" spans="1:13" x14ac:dyDescent="0.2">
      <c r="A234" s="225" t="s">
        <v>177</v>
      </c>
      <c r="B234" s="226" t="s">
        <v>332</v>
      </c>
      <c r="C234" s="227"/>
      <c r="D234" s="228"/>
      <c r="E234" s="229"/>
      <c r="F234" s="182"/>
      <c r="G234" s="183"/>
    </row>
    <row r="235" spans="1:13" x14ac:dyDescent="0.2">
      <c r="A235" s="184" t="s">
        <v>201</v>
      </c>
      <c r="B235" s="185" t="s">
        <v>319</v>
      </c>
      <c r="C235" s="186" t="s">
        <v>142</v>
      </c>
      <c r="D235" s="187">
        <f>I238/1000</f>
        <v>0.51702000000000015</v>
      </c>
      <c r="E235" s="224"/>
      <c r="F235" s="182"/>
      <c r="G235" s="183">
        <f t="shared" ref="G235:G263" si="34">(D235*E235)+(D235*F235)</f>
        <v>0</v>
      </c>
    </row>
    <row r="236" spans="1:13" x14ac:dyDescent="0.2">
      <c r="A236" s="188"/>
      <c r="B236" s="185" t="s">
        <v>248</v>
      </c>
      <c r="C236" s="186" t="s">
        <v>8</v>
      </c>
      <c r="D236" s="187">
        <v>44</v>
      </c>
      <c r="E236" s="224"/>
      <c r="F236" s="182"/>
      <c r="G236" s="183">
        <f t="shared" si="34"/>
        <v>0</v>
      </c>
      <c r="I236" s="33">
        <f>D236*1.58*6</f>
        <v>417.12000000000006</v>
      </c>
      <c r="J236" s="22">
        <f>25.8*2+2*2</f>
        <v>55.6</v>
      </c>
      <c r="L236" s="22">
        <f>J236/0.15</f>
        <v>370.66666666666669</v>
      </c>
      <c r="M236" s="22">
        <f>L236/5</f>
        <v>74.13333333333334</v>
      </c>
    </row>
    <row r="237" spans="1:13" x14ac:dyDescent="0.2">
      <c r="A237" s="184"/>
      <c r="B237" s="185" t="s">
        <v>251</v>
      </c>
      <c r="C237" s="186" t="s">
        <v>8</v>
      </c>
      <c r="D237" s="187">
        <v>75</v>
      </c>
      <c r="E237" s="224"/>
      <c r="F237" s="182"/>
      <c r="G237" s="183">
        <f t="shared" si="34"/>
        <v>0</v>
      </c>
      <c r="I237" s="33">
        <f>0.222*D237*6</f>
        <v>99.899999999999991</v>
      </c>
    </row>
    <row r="238" spans="1:13" x14ac:dyDescent="0.2">
      <c r="A238" s="184"/>
      <c r="B238" s="185" t="s">
        <v>14</v>
      </c>
      <c r="C238" s="186" t="s">
        <v>9</v>
      </c>
      <c r="D238" s="187">
        <f>D235*20</f>
        <v>10.340400000000002</v>
      </c>
      <c r="E238" s="224"/>
      <c r="F238" s="182"/>
      <c r="G238" s="183">
        <f t="shared" si="34"/>
        <v>0</v>
      </c>
      <c r="I238" s="33">
        <f>SUM(I236:I237)</f>
        <v>517.0200000000001</v>
      </c>
      <c r="J238" s="33"/>
    </row>
    <row r="239" spans="1:13" x14ac:dyDescent="0.2">
      <c r="A239" s="184" t="s">
        <v>202</v>
      </c>
      <c r="B239" s="185" t="s">
        <v>333</v>
      </c>
      <c r="C239" s="186" t="s">
        <v>142</v>
      </c>
      <c r="D239" s="187">
        <f>I242/1000</f>
        <v>0.136404</v>
      </c>
      <c r="E239" s="224"/>
      <c r="F239" s="182"/>
      <c r="G239" s="183">
        <f t="shared" ref="G239:G246" si="35">(D239*E239)+(D239*F239)</f>
        <v>0</v>
      </c>
      <c r="I239" s="33"/>
      <c r="J239" s="33"/>
    </row>
    <row r="240" spans="1:13" x14ac:dyDescent="0.2">
      <c r="A240" s="184"/>
      <c r="B240" s="185" t="s">
        <v>248</v>
      </c>
      <c r="C240" s="186" t="s">
        <v>8</v>
      </c>
      <c r="D240" s="187">
        <v>12</v>
      </c>
      <c r="E240" s="224"/>
      <c r="F240" s="182"/>
      <c r="G240" s="183">
        <f t="shared" si="35"/>
        <v>0</v>
      </c>
      <c r="I240" s="33">
        <f>D240*1.58*6</f>
        <v>113.76</v>
      </c>
      <c r="J240" s="22">
        <f>8.7</f>
        <v>8.6999999999999993</v>
      </c>
      <c r="K240" s="22">
        <f>J240/0.15</f>
        <v>58</v>
      </c>
      <c r="L240" s="22">
        <f>K240/5</f>
        <v>11.6</v>
      </c>
    </row>
    <row r="241" spans="1:12" x14ac:dyDescent="0.2">
      <c r="A241" s="184"/>
      <c r="B241" s="185" t="s">
        <v>251</v>
      </c>
      <c r="C241" s="186" t="s">
        <v>8</v>
      </c>
      <c r="D241" s="187">
        <v>17</v>
      </c>
      <c r="E241" s="224"/>
      <c r="F241" s="182"/>
      <c r="G241" s="183">
        <f t="shared" si="35"/>
        <v>0</v>
      </c>
      <c r="I241" s="33">
        <f>0.222*D241*6</f>
        <v>22.643999999999998</v>
      </c>
    </row>
    <row r="242" spans="1:12" x14ac:dyDescent="0.2">
      <c r="A242" s="184"/>
      <c r="B242" s="185" t="s">
        <v>14</v>
      </c>
      <c r="C242" s="186" t="s">
        <v>9</v>
      </c>
      <c r="D242" s="187">
        <f>D239*20</f>
        <v>2.7280799999999998</v>
      </c>
      <c r="E242" s="224"/>
      <c r="F242" s="182"/>
      <c r="G242" s="183">
        <f t="shared" si="35"/>
        <v>0</v>
      </c>
      <c r="I242" s="33">
        <f>SUM(I240:I241)</f>
        <v>136.404</v>
      </c>
      <c r="J242" s="33"/>
    </row>
    <row r="243" spans="1:12" x14ac:dyDescent="0.2">
      <c r="A243" s="184" t="s">
        <v>204</v>
      </c>
      <c r="B243" s="185" t="s">
        <v>334</v>
      </c>
      <c r="C243" s="186" t="s">
        <v>142</v>
      </c>
      <c r="D243" s="187">
        <f>I246/1000</f>
        <v>0.82013399999999992</v>
      </c>
      <c r="E243" s="224"/>
      <c r="F243" s="182"/>
      <c r="G243" s="183">
        <f t="shared" si="35"/>
        <v>0</v>
      </c>
      <c r="I243" s="33"/>
      <c r="J243" s="33"/>
    </row>
    <row r="244" spans="1:12" x14ac:dyDescent="0.2">
      <c r="A244" s="184"/>
      <c r="B244" s="185" t="s">
        <v>340</v>
      </c>
      <c r="C244" s="186" t="s">
        <v>8</v>
      </c>
      <c r="D244" s="187">
        <v>47</v>
      </c>
      <c r="E244" s="224"/>
      <c r="F244" s="182"/>
      <c r="G244" s="183">
        <f t="shared" si="35"/>
        <v>0</v>
      </c>
      <c r="I244" s="33">
        <f>D244*2.469*6</f>
        <v>696.25799999999992</v>
      </c>
      <c r="J244" s="22">
        <f>8.7*4</f>
        <v>34.799999999999997</v>
      </c>
      <c r="K244" s="22">
        <f>(J244/0.15)*2</f>
        <v>464</v>
      </c>
      <c r="L244" s="22">
        <f>K244/5</f>
        <v>92.8</v>
      </c>
    </row>
    <row r="245" spans="1:12" x14ac:dyDescent="0.2">
      <c r="A245" s="184"/>
      <c r="B245" s="185" t="s">
        <v>251</v>
      </c>
      <c r="C245" s="186" t="s">
        <v>8</v>
      </c>
      <c r="D245" s="187">
        <v>93</v>
      </c>
      <c r="E245" s="224"/>
      <c r="F245" s="182"/>
      <c r="G245" s="183">
        <f t="shared" si="35"/>
        <v>0</v>
      </c>
      <c r="I245" s="33">
        <f>0.222*D245*6</f>
        <v>123.876</v>
      </c>
      <c r="J245" s="33"/>
    </row>
    <row r="246" spans="1:12" x14ac:dyDescent="0.2">
      <c r="A246" s="184"/>
      <c r="B246" s="185" t="s">
        <v>14</v>
      </c>
      <c r="C246" s="186" t="s">
        <v>9</v>
      </c>
      <c r="D246" s="187">
        <f>D243*20</f>
        <v>16.402679999999997</v>
      </c>
      <c r="E246" s="224"/>
      <c r="F246" s="182"/>
      <c r="G246" s="183">
        <f t="shared" si="35"/>
        <v>0</v>
      </c>
      <c r="I246" s="33">
        <f>SUM(I244:I245)</f>
        <v>820.1339999999999</v>
      </c>
      <c r="J246" s="33"/>
    </row>
    <row r="247" spans="1:12" x14ac:dyDescent="0.2">
      <c r="A247" s="184" t="s">
        <v>203</v>
      </c>
      <c r="B247" s="185" t="s">
        <v>337</v>
      </c>
      <c r="C247" s="186" t="s">
        <v>142</v>
      </c>
      <c r="D247" s="187">
        <f>I251/1000</f>
        <v>0.75980999999999999</v>
      </c>
      <c r="E247" s="224"/>
      <c r="F247" s="182"/>
      <c r="G247" s="183">
        <f t="shared" ref="G247:G260" si="36">(D247*E247)+(D247*F247)</f>
        <v>0</v>
      </c>
      <c r="I247" s="33"/>
      <c r="J247" s="33"/>
    </row>
    <row r="248" spans="1:12" x14ac:dyDescent="0.2">
      <c r="A248" s="184"/>
      <c r="B248" s="185" t="s">
        <v>340</v>
      </c>
      <c r="C248" s="186" t="s">
        <v>8</v>
      </c>
      <c r="D248" s="187">
        <v>11</v>
      </c>
      <c r="E248" s="224"/>
      <c r="F248" s="182"/>
      <c r="G248" s="183">
        <f t="shared" ref="G248:G249" si="37">(D248*E248)+(D248*F248)</f>
        <v>0</v>
      </c>
      <c r="I248" s="33">
        <f>D248*2.469*6</f>
        <v>162.95400000000001</v>
      </c>
      <c r="J248" s="22">
        <v>25.8</v>
      </c>
      <c r="K248" s="22">
        <f>(J248/0.1)</f>
        <v>258</v>
      </c>
      <c r="L248" s="22">
        <f>K248/5</f>
        <v>51.6</v>
      </c>
    </row>
    <row r="249" spans="1:12" x14ac:dyDescent="0.2">
      <c r="A249" s="184"/>
      <c r="B249" s="185" t="s">
        <v>248</v>
      </c>
      <c r="C249" s="186" t="s">
        <v>8</v>
      </c>
      <c r="D249" s="187">
        <v>52</v>
      </c>
      <c r="E249" s="224"/>
      <c r="F249" s="182"/>
      <c r="G249" s="183">
        <f t="shared" si="37"/>
        <v>0</v>
      </c>
      <c r="I249" s="33">
        <f>D249*1.58*6</f>
        <v>492.96</v>
      </c>
      <c r="J249" s="33"/>
    </row>
    <row r="250" spans="1:12" x14ac:dyDescent="0.2">
      <c r="A250" s="184"/>
      <c r="B250" s="185" t="s">
        <v>251</v>
      </c>
      <c r="C250" s="186" t="s">
        <v>8</v>
      </c>
      <c r="D250" s="187">
        <v>78</v>
      </c>
      <c r="E250" s="224"/>
      <c r="F250" s="182"/>
      <c r="G250" s="183">
        <f t="shared" si="36"/>
        <v>0</v>
      </c>
      <c r="I250" s="33">
        <f>0.222*D250*6</f>
        <v>103.89599999999999</v>
      </c>
      <c r="J250" s="33"/>
    </row>
    <row r="251" spans="1:12" x14ac:dyDescent="0.2">
      <c r="A251" s="184"/>
      <c r="B251" s="185" t="s">
        <v>14</v>
      </c>
      <c r="C251" s="186" t="s">
        <v>9</v>
      </c>
      <c r="D251" s="187">
        <f>D247*20</f>
        <v>15.196199999999999</v>
      </c>
      <c r="E251" s="224"/>
      <c r="F251" s="182"/>
      <c r="G251" s="183">
        <f t="shared" si="36"/>
        <v>0</v>
      </c>
      <c r="I251" s="33">
        <f>SUM(I248:I250)</f>
        <v>759.81</v>
      </c>
      <c r="J251" s="33"/>
    </row>
    <row r="252" spans="1:12" x14ac:dyDescent="0.2">
      <c r="A252" s="184" t="s">
        <v>335</v>
      </c>
      <c r="B252" s="185" t="s">
        <v>338</v>
      </c>
      <c r="C252" s="186" t="s">
        <v>142</v>
      </c>
      <c r="D252" s="187">
        <f>I255/1000</f>
        <v>5.2433999999999995E-2</v>
      </c>
      <c r="E252" s="224"/>
      <c r="F252" s="182"/>
      <c r="G252" s="183">
        <f t="shared" si="36"/>
        <v>0</v>
      </c>
      <c r="I252" s="33"/>
      <c r="J252" s="33"/>
    </row>
    <row r="253" spans="1:12" x14ac:dyDescent="0.2">
      <c r="A253" s="184"/>
      <c r="B253" s="185" t="s">
        <v>340</v>
      </c>
      <c r="C253" s="186" t="s">
        <v>8</v>
      </c>
      <c r="D253" s="187">
        <v>3</v>
      </c>
      <c r="E253" s="224"/>
      <c r="F253" s="182"/>
      <c r="G253" s="183">
        <f t="shared" si="36"/>
        <v>0</v>
      </c>
      <c r="I253" s="33">
        <f>D253*2.469*6</f>
        <v>44.442</v>
      </c>
      <c r="J253" s="33">
        <v>3.4</v>
      </c>
      <c r="K253" s="22">
        <f>(J253/0.15)</f>
        <v>22.666666666666668</v>
      </c>
      <c r="L253" s="22">
        <f>K253/4</f>
        <v>5.666666666666667</v>
      </c>
    </row>
    <row r="254" spans="1:12" x14ac:dyDescent="0.2">
      <c r="A254" s="184"/>
      <c r="B254" s="185" t="s">
        <v>251</v>
      </c>
      <c r="C254" s="186" t="s">
        <v>8</v>
      </c>
      <c r="D254" s="187">
        <v>6</v>
      </c>
      <c r="E254" s="224"/>
      <c r="F254" s="182"/>
      <c r="G254" s="183">
        <f t="shared" si="36"/>
        <v>0</v>
      </c>
      <c r="I254" s="33">
        <f>0.222*D254*6</f>
        <v>7.9920000000000009</v>
      </c>
      <c r="J254" s="33"/>
    </row>
    <row r="255" spans="1:12" x14ac:dyDescent="0.2">
      <c r="A255" s="184"/>
      <c r="B255" s="185" t="s">
        <v>14</v>
      </c>
      <c r="C255" s="186" t="s">
        <v>9</v>
      </c>
      <c r="D255" s="187">
        <f>D252*20</f>
        <v>1.0486799999999998</v>
      </c>
      <c r="E255" s="224"/>
      <c r="F255" s="182"/>
      <c r="G255" s="183">
        <f t="shared" si="36"/>
        <v>0</v>
      </c>
      <c r="I255" s="33">
        <f>SUM(I253:I254)</f>
        <v>52.433999999999997</v>
      </c>
      <c r="J255" s="33"/>
    </row>
    <row r="256" spans="1:12" x14ac:dyDescent="0.2">
      <c r="A256" s="184" t="s">
        <v>336</v>
      </c>
      <c r="B256" s="185" t="s">
        <v>339</v>
      </c>
      <c r="C256" s="186" t="s">
        <v>142</v>
      </c>
      <c r="D256" s="187">
        <f>I260/1000</f>
        <v>0.50691600000000003</v>
      </c>
      <c r="E256" s="224"/>
      <c r="F256" s="182"/>
      <c r="G256" s="183">
        <f t="shared" si="36"/>
        <v>0</v>
      </c>
      <c r="I256" s="33"/>
      <c r="J256" s="33"/>
    </row>
    <row r="257" spans="1:15" x14ac:dyDescent="0.2">
      <c r="A257" s="184"/>
      <c r="B257" s="185" t="s">
        <v>340</v>
      </c>
      <c r="C257" s="186" t="s">
        <v>8</v>
      </c>
      <c r="D257" s="187">
        <v>22</v>
      </c>
      <c r="E257" s="224"/>
      <c r="F257" s="182"/>
      <c r="G257" s="183">
        <f t="shared" ref="G257:G258" si="38">(D257*E257)+(D257*F257)</f>
        <v>0</v>
      </c>
      <c r="I257" s="33">
        <f t="shared" ref="I257" si="39">D257*2.469*6</f>
        <v>325.90800000000002</v>
      </c>
      <c r="J257" s="33">
        <v>19.399999999999999</v>
      </c>
      <c r="K257" s="22">
        <f>(J257/0.1)</f>
        <v>193.99999999999997</v>
      </c>
      <c r="L257" s="22">
        <f>K257/4</f>
        <v>48.499999999999993</v>
      </c>
    </row>
    <row r="258" spans="1:15" x14ac:dyDescent="0.2">
      <c r="A258" s="184"/>
      <c r="B258" s="185" t="s">
        <v>341</v>
      </c>
      <c r="C258" s="186" t="s">
        <v>8</v>
      </c>
      <c r="D258" s="187">
        <v>5</v>
      </c>
      <c r="E258" s="224"/>
      <c r="F258" s="182"/>
      <c r="G258" s="183">
        <f t="shared" si="38"/>
        <v>0</v>
      </c>
      <c r="I258" s="33">
        <f>D258*3.858*6</f>
        <v>115.74</v>
      </c>
      <c r="J258" s="33"/>
    </row>
    <row r="259" spans="1:15" x14ac:dyDescent="0.2">
      <c r="A259" s="184"/>
      <c r="B259" s="185" t="s">
        <v>251</v>
      </c>
      <c r="C259" s="186" t="s">
        <v>8</v>
      </c>
      <c r="D259" s="187">
        <v>49</v>
      </c>
      <c r="E259" s="224"/>
      <c r="F259" s="182"/>
      <c r="G259" s="183">
        <f t="shared" si="36"/>
        <v>0</v>
      </c>
      <c r="I259" s="33">
        <f>0.222*D259*6</f>
        <v>65.268000000000001</v>
      </c>
      <c r="J259" s="33"/>
    </row>
    <row r="260" spans="1:15" x14ac:dyDescent="0.2">
      <c r="A260" s="184"/>
      <c r="B260" s="185" t="s">
        <v>14</v>
      </c>
      <c r="C260" s="186" t="s">
        <v>9</v>
      </c>
      <c r="D260" s="187">
        <f>D256*20</f>
        <v>10.13832</v>
      </c>
      <c r="E260" s="224"/>
      <c r="F260" s="182"/>
      <c r="G260" s="183">
        <f t="shared" si="36"/>
        <v>0</v>
      </c>
      <c r="I260" s="33">
        <f>SUM(I257:I259)</f>
        <v>506.91600000000005</v>
      </c>
      <c r="J260" s="33"/>
    </row>
    <row r="261" spans="1:15" x14ac:dyDescent="0.2">
      <c r="A261" s="225" t="s">
        <v>178</v>
      </c>
      <c r="B261" s="226" t="s">
        <v>318</v>
      </c>
      <c r="C261" s="227" t="s">
        <v>142</v>
      </c>
      <c r="D261" s="228">
        <f>I263/1000</f>
        <v>3.7649340000000002</v>
      </c>
      <c r="E261" s="229"/>
      <c r="F261" s="182"/>
      <c r="G261" s="183">
        <f t="shared" si="34"/>
        <v>0</v>
      </c>
      <c r="H261" s="41"/>
      <c r="I261" s="36"/>
      <c r="K261" s="22">
        <f>I171</f>
        <v>248.86</v>
      </c>
      <c r="L261" s="22">
        <f>K261*14</f>
        <v>3484.04</v>
      </c>
      <c r="M261" s="22">
        <f>L261*75%</f>
        <v>2613.0299999999997</v>
      </c>
      <c r="N261" s="22">
        <f>L261+M261</f>
        <v>6097.07</v>
      </c>
      <c r="O261" s="22">
        <f>N261/6</f>
        <v>1016.1783333333333</v>
      </c>
    </row>
    <row r="262" spans="1:15" x14ac:dyDescent="0.2">
      <c r="A262" s="230" t="s">
        <v>189</v>
      </c>
      <c r="B262" s="185" t="s">
        <v>250</v>
      </c>
      <c r="C262" s="232" t="s">
        <v>8</v>
      </c>
      <c r="D262" s="233">
        <v>1017</v>
      </c>
      <c r="E262" s="234"/>
      <c r="F262" s="235"/>
      <c r="G262" s="183">
        <f t="shared" si="34"/>
        <v>0</v>
      </c>
      <c r="H262" s="41"/>
      <c r="I262" s="33">
        <f>0.617*D262*6</f>
        <v>3764.9340000000002</v>
      </c>
    </row>
    <row r="263" spans="1:15" x14ac:dyDescent="0.2">
      <c r="A263" s="230"/>
      <c r="B263" s="231" t="s">
        <v>14</v>
      </c>
      <c r="C263" s="232" t="s">
        <v>9</v>
      </c>
      <c r="D263" s="233">
        <f>D261*15</f>
        <v>56.474010000000007</v>
      </c>
      <c r="E263" s="234"/>
      <c r="F263" s="235"/>
      <c r="G263" s="183">
        <f t="shared" si="34"/>
        <v>0</v>
      </c>
      <c r="H263" s="41"/>
      <c r="I263" s="33">
        <f>SUM(I261:I262)</f>
        <v>3764.9340000000002</v>
      </c>
    </row>
    <row r="264" spans="1:15" x14ac:dyDescent="0.2">
      <c r="A264" s="225" t="s">
        <v>191</v>
      </c>
      <c r="B264" s="226" t="s">
        <v>186</v>
      </c>
      <c r="C264" s="227"/>
      <c r="D264" s="228"/>
      <c r="E264" s="229"/>
      <c r="F264" s="182"/>
      <c r="G264" s="183"/>
    </row>
    <row r="265" spans="1:15" x14ac:dyDescent="0.2">
      <c r="A265" s="184" t="s">
        <v>201</v>
      </c>
      <c r="B265" s="185" t="s">
        <v>461</v>
      </c>
      <c r="C265" s="186" t="s">
        <v>142</v>
      </c>
      <c r="D265" s="187">
        <f>I268/1000</f>
        <v>0.89801999999999993</v>
      </c>
      <c r="E265" s="224"/>
      <c r="F265" s="182"/>
      <c r="G265" s="183">
        <f t="shared" ref="G265:G276" si="40">(D265*E265)+(D265*F265)</f>
        <v>0</v>
      </c>
    </row>
    <row r="266" spans="1:15" x14ac:dyDescent="0.2">
      <c r="A266" s="188"/>
      <c r="B266" s="185" t="s">
        <v>248</v>
      </c>
      <c r="C266" s="186" t="s">
        <v>8</v>
      </c>
      <c r="D266" s="187">
        <v>87</v>
      </c>
      <c r="E266" s="224"/>
      <c r="F266" s="182"/>
      <c r="G266" s="183">
        <f t="shared" si="40"/>
        <v>0</v>
      </c>
      <c r="I266" s="33">
        <f>D266*1.58*6</f>
        <v>824.76</v>
      </c>
      <c r="J266" s="22">
        <f>1.5*2*29</f>
        <v>87</v>
      </c>
      <c r="L266" s="22">
        <f>3.5/0.15</f>
        <v>23.333333333333336</v>
      </c>
      <c r="M266" s="22">
        <f>29*23</f>
        <v>667</v>
      </c>
      <c r="N266" s="22">
        <f>M266/11</f>
        <v>60.636363636363633</v>
      </c>
    </row>
    <row r="267" spans="1:15" x14ac:dyDescent="0.2">
      <c r="A267" s="184"/>
      <c r="B267" s="185" t="s">
        <v>251</v>
      </c>
      <c r="C267" s="186" t="s">
        <v>8</v>
      </c>
      <c r="D267" s="187">
        <v>55</v>
      </c>
      <c r="E267" s="224"/>
      <c r="F267" s="182"/>
      <c r="G267" s="183">
        <f t="shared" si="40"/>
        <v>0</v>
      </c>
      <c r="I267" s="33">
        <f>0.222*D267*6</f>
        <v>73.260000000000005</v>
      </c>
    </row>
    <row r="268" spans="1:15" x14ac:dyDescent="0.2">
      <c r="A268" s="184"/>
      <c r="B268" s="185" t="s">
        <v>14</v>
      </c>
      <c r="C268" s="186" t="s">
        <v>9</v>
      </c>
      <c r="D268" s="187">
        <f>D265*20</f>
        <v>17.9604</v>
      </c>
      <c r="E268" s="224"/>
      <c r="F268" s="182"/>
      <c r="G268" s="183">
        <f t="shared" si="40"/>
        <v>0</v>
      </c>
      <c r="I268" s="33">
        <f>SUM(I266:I267)</f>
        <v>898.02</v>
      </c>
      <c r="J268" s="33"/>
    </row>
    <row r="269" spans="1:15" x14ac:dyDescent="0.2">
      <c r="A269" s="184" t="s">
        <v>202</v>
      </c>
      <c r="B269" s="185" t="s">
        <v>463</v>
      </c>
      <c r="C269" s="186" t="s">
        <v>142</v>
      </c>
      <c r="D269" s="187">
        <f>I272/1000</f>
        <v>0.18529200000000004</v>
      </c>
      <c r="E269" s="224"/>
      <c r="F269" s="182"/>
      <c r="G269" s="183">
        <f t="shared" si="40"/>
        <v>0</v>
      </c>
      <c r="I269" s="33"/>
      <c r="J269" s="33"/>
    </row>
    <row r="270" spans="1:15" x14ac:dyDescent="0.2">
      <c r="A270" s="184"/>
      <c r="B270" s="185" t="s">
        <v>248</v>
      </c>
      <c r="C270" s="186" t="s">
        <v>8</v>
      </c>
      <c r="D270" s="187">
        <v>18</v>
      </c>
      <c r="E270" s="224"/>
      <c r="F270" s="182"/>
      <c r="G270" s="183">
        <f t="shared" si="40"/>
        <v>0</v>
      </c>
      <c r="I270" s="33">
        <f>D270*1.58*6</f>
        <v>170.64000000000001</v>
      </c>
      <c r="J270" s="22">
        <f>1.5*3*4</f>
        <v>18</v>
      </c>
      <c r="K270" s="22">
        <f>24*3</f>
        <v>72</v>
      </c>
      <c r="L270" s="22">
        <f>K270/6</f>
        <v>12</v>
      </c>
      <c r="M270" s="22">
        <f>K270/8</f>
        <v>9</v>
      </c>
    </row>
    <row r="271" spans="1:15" x14ac:dyDescent="0.2">
      <c r="A271" s="184"/>
      <c r="B271" s="185" t="s">
        <v>251</v>
      </c>
      <c r="C271" s="186" t="s">
        <v>8</v>
      </c>
      <c r="D271" s="187">
        <v>11</v>
      </c>
      <c r="E271" s="224"/>
      <c r="F271" s="182"/>
      <c r="G271" s="183">
        <f t="shared" si="40"/>
        <v>0</v>
      </c>
      <c r="I271" s="33">
        <f>0.222*D271*6</f>
        <v>14.652000000000001</v>
      </c>
    </row>
    <row r="272" spans="1:15" x14ac:dyDescent="0.2">
      <c r="A272" s="184"/>
      <c r="B272" s="185" t="s">
        <v>14</v>
      </c>
      <c r="C272" s="186" t="s">
        <v>9</v>
      </c>
      <c r="D272" s="187">
        <f>D269*20</f>
        <v>3.7058400000000007</v>
      </c>
      <c r="E272" s="224"/>
      <c r="F272" s="182"/>
      <c r="G272" s="183">
        <f t="shared" si="40"/>
        <v>0</v>
      </c>
      <c r="I272" s="33">
        <f>SUM(I270:I271)</f>
        <v>185.29200000000003</v>
      </c>
      <c r="J272" s="33"/>
    </row>
    <row r="273" spans="1:13" x14ac:dyDescent="0.2">
      <c r="A273" s="184" t="s">
        <v>204</v>
      </c>
      <c r="B273" s="185" t="s">
        <v>462</v>
      </c>
      <c r="C273" s="186" t="s">
        <v>142</v>
      </c>
      <c r="D273" s="187">
        <f>I276/1000</f>
        <v>7.596E-2</v>
      </c>
      <c r="E273" s="224"/>
      <c r="F273" s="182"/>
      <c r="G273" s="183">
        <f t="shared" si="40"/>
        <v>0</v>
      </c>
      <c r="I273" s="33"/>
      <c r="J273" s="33"/>
    </row>
    <row r="274" spans="1:13" x14ac:dyDescent="0.2">
      <c r="A274" s="184"/>
      <c r="B274" s="185" t="s">
        <v>250</v>
      </c>
      <c r="C274" s="186" t="s">
        <v>8</v>
      </c>
      <c r="D274" s="187">
        <v>18</v>
      </c>
      <c r="E274" s="224"/>
      <c r="F274" s="182"/>
      <c r="G274" s="183">
        <f t="shared" si="40"/>
        <v>0</v>
      </c>
      <c r="I274" s="33">
        <f>D274*0.617*6</f>
        <v>66.635999999999996</v>
      </c>
      <c r="J274" s="33">
        <f>1.5*6</f>
        <v>9</v>
      </c>
    </row>
    <row r="275" spans="1:13" x14ac:dyDescent="0.2">
      <c r="A275" s="184"/>
      <c r="B275" s="185" t="s">
        <v>251</v>
      </c>
      <c r="C275" s="186" t="s">
        <v>8</v>
      </c>
      <c r="D275" s="187">
        <v>7</v>
      </c>
      <c r="E275" s="224"/>
      <c r="F275" s="182"/>
      <c r="G275" s="183">
        <f t="shared" si="40"/>
        <v>0</v>
      </c>
      <c r="I275" s="33">
        <f>0.222*D275*6</f>
        <v>9.3239999999999998</v>
      </c>
      <c r="J275" s="33"/>
    </row>
    <row r="276" spans="1:13" x14ac:dyDescent="0.2">
      <c r="A276" s="184"/>
      <c r="B276" s="185" t="s">
        <v>14</v>
      </c>
      <c r="C276" s="186" t="s">
        <v>9</v>
      </c>
      <c r="D276" s="187">
        <f>D273*20</f>
        <v>1.5192000000000001</v>
      </c>
      <c r="E276" s="224"/>
      <c r="F276" s="182"/>
      <c r="G276" s="183">
        <f t="shared" si="40"/>
        <v>0</v>
      </c>
      <c r="I276" s="33">
        <f>SUM(I274:I275)</f>
        <v>75.959999999999994</v>
      </c>
      <c r="J276" s="33"/>
    </row>
    <row r="277" spans="1:13" x14ac:dyDescent="0.2">
      <c r="A277" s="170" t="s">
        <v>342</v>
      </c>
      <c r="B277" s="171" t="s">
        <v>310</v>
      </c>
      <c r="C277" s="218"/>
      <c r="D277" s="219"/>
      <c r="E277" s="220"/>
      <c r="F277" s="221"/>
      <c r="G277" s="222">
        <f t="shared" ref="G277" si="41">(D277*E277)+(D277*F277)</f>
        <v>0</v>
      </c>
    </row>
    <row r="278" spans="1:13" x14ac:dyDescent="0.2">
      <c r="A278" s="225" t="s">
        <v>177</v>
      </c>
      <c r="B278" s="226" t="s">
        <v>310</v>
      </c>
      <c r="C278" s="227"/>
      <c r="D278" s="228"/>
      <c r="E278" s="229"/>
      <c r="F278" s="182"/>
      <c r="G278" s="183"/>
    </row>
    <row r="279" spans="1:13" x14ac:dyDescent="0.2">
      <c r="A279" s="184" t="s">
        <v>201</v>
      </c>
      <c r="B279" s="185" t="s">
        <v>343</v>
      </c>
      <c r="C279" s="186" t="s">
        <v>142</v>
      </c>
      <c r="D279" s="187">
        <f>I282/1000</f>
        <v>0.29059200000000002</v>
      </c>
      <c r="E279" s="224"/>
      <c r="F279" s="182"/>
      <c r="G279" s="183">
        <f t="shared" ref="G279:G287" si="42">(D279*E279)+(D279*F279)</f>
        <v>0</v>
      </c>
    </row>
    <row r="280" spans="1:13" x14ac:dyDescent="0.2">
      <c r="A280" s="188"/>
      <c r="B280" s="185" t="s">
        <v>248</v>
      </c>
      <c r="C280" s="186" t="s">
        <v>8</v>
      </c>
      <c r="D280" s="187">
        <v>27</v>
      </c>
      <c r="E280" s="224"/>
      <c r="F280" s="182"/>
      <c r="G280" s="183">
        <f t="shared" si="42"/>
        <v>0</v>
      </c>
      <c r="I280" s="33">
        <f>D280*1.58*6</f>
        <v>255.96000000000004</v>
      </c>
      <c r="J280" s="22">
        <v>19.399999999999999</v>
      </c>
      <c r="L280" s="22">
        <f>J280/0.15</f>
        <v>129.33333333333334</v>
      </c>
      <c r="M280" s="22">
        <f>L280/5</f>
        <v>25.866666666666667</v>
      </c>
    </row>
    <row r="281" spans="1:13" x14ac:dyDescent="0.2">
      <c r="A281" s="184"/>
      <c r="B281" s="185" t="s">
        <v>251</v>
      </c>
      <c r="C281" s="186" t="s">
        <v>8</v>
      </c>
      <c r="D281" s="187">
        <v>26</v>
      </c>
      <c r="E281" s="224"/>
      <c r="F281" s="182"/>
      <c r="G281" s="183">
        <f t="shared" si="42"/>
        <v>0</v>
      </c>
      <c r="I281" s="33">
        <f>0.222*D281*6</f>
        <v>34.632000000000005</v>
      </c>
    </row>
    <row r="282" spans="1:13" x14ac:dyDescent="0.2">
      <c r="A282" s="184"/>
      <c r="B282" s="185" t="s">
        <v>14</v>
      </c>
      <c r="C282" s="186" t="s">
        <v>9</v>
      </c>
      <c r="D282" s="187">
        <f>D279*20</f>
        <v>5.8118400000000001</v>
      </c>
      <c r="E282" s="224"/>
      <c r="F282" s="182"/>
      <c r="G282" s="183">
        <f t="shared" si="42"/>
        <v>0</v>
      </c>
      <c r="I282" s="33">
        <f>SUM(I280:I281)</f>
        <v>290.59200000000004</v>
      </c>
      <c r="J282" s="33"/>
    </row>
    <row r="283" spans="1:13" x14ac:dyDescent="0.2">
      <c r="A283" s="184" t="s">
        <v>202</v>
      </c>
      <c r="B283" s="185" t="s">
        <v>328</v>
      </c>
      <c r="C283" s="186" t="s">
        <v>142</v>
      </c>
      <c r="D283" s="187">
        <f>I286/1000</f>
        <v>6.8867999999999999E-2</v>
      </c>
      <c r="E283" s="224"/>
      <c r="F283" s="182"/>
      <c r="G283" s="183">
        <f t="shared" si="42"/>
        <v>0</v>
      </c>
      <c r="I283" s="33"/>
      <c r="J283" s="33"/>
    </row>
    <row r="284" spans="1:13" x14ac:dyDescent="0.2">
      <c r="A284" s="184"/>
      <c r="B284" s="185" t="s">
        <v>248</v>
      </c>
      <c r="C284" s="186" t="s">
        <v>8</v>
      </c>
      <c r="D284" s="187">
        <v>6</v>
      </c>
      <c r="E284" s="224"/>
      <c r="F284" s="182"/>
      <c r="G284" s="183">
        <f t="shared" si="42"/>
        <v>0</v>
      </c>
      <c r="I284" s="33">
        <f>D284*1.58*6</f>
        <v>56.88</v>
      </c>
      <c r="J284" s="22">
        <f>3.2*2</f>
        <v>6.4</v>
      </c>
      <c r="K284" s="22">
        <f>J284/0.15</f>
        <v>42.666666666666671</v>
      </c>
      <c r="L284" s="22">
        <f>K284/5</f>
        <v>8.533333333333335</v>
      </c>
    </row>
    <row r="285" spans="1:13" x14ac:dyDescent="0.2">
      <c r="A285" s="184"/>
      <c r="B285" s="185" t="s">
        <v>251</v>
      </c>
      <c r="C285" s="186" t="s">
        <v>8</v>
      </c>
      <c r="D285" s="187">
        <v>9</v>
      </c>
      <c r="E285" s="224"/>
      <c r="F285" s="182"/>
      <c r="G285" s="183">
        <f t="shared" si="42"/>
        <v>0</v>
      </c>
      <c r="I285" s="33">
        <f>0.222*D285*6</f>
        <v>11.988</v>
      </c>
    </row>
    <row r="286" spans="1:13" x14ac:dyDescent="0.2">
      <c r="A286" s="184"/>
      <c r="B286" s="185" t="s">
        <v>14</v>
      </c>
      <c r="C286" s="186" t="s">
        <v>9</v>
      </c>
      <c r="D286" s="187">
        <f>D283*20</f>
        <v>1.3773599999999999</v>
      </c>
      <c r="E286" s="224"/>
      <c r="F286" s="182"/>
      <c r="G286" s="183">
        <f t="shared" si="42"/>
        <v>0</v>
      </c>
      <c r="I286" s="33">
        <f>SUM(I284:I285)</f>
        <v>68.867999999999995</v>
      </c>
      <c r="J286" s="33"/>
    </row>
    <row r="287" spans="1:13" x14ac:dyDescent="0.2">
      <c r="A287" s="184" t="s">
        <v>204</v>
      </c>
      <c r="B287" s="185" t="s">
        <v>327</v>
      </c>
      <c r="C287" s="186" t="s">
        <v>142</v>
      </c>
      <c r="D287" s="187">
        <f>I290/1000</f>
        <v>1.2342960000000003</v>
      </c>
      <c r="E287" s="224"/>
      <c r="F287" s="182"/>
      <c r="G287" s="183">
        <f t="shared" si="42"/>
        <v>0</v>
      </c>
      <c r="I287" s="33"/>
      <c r="J287" s="33"/>
    </row>
    <row r="288" spans="1:13" x14ac:dyDescent="0.2">
      <c r="A288" s="184"/>
      <c r="B288" s="185" t="s">
        <v>248</v>
      </c>
      <c r="C288" s="186" t="s">
        <v>8</v>
      </c>
      <c r="D288" s="187">
        <v>108</v>
      </c>
      <c r="E288" s="224"/>
      <c r="F288" s="182"/>
      <c r="G288" s="183">
        <f t="shared" ref="G288:G290" si="43">(D288*E288)+(D288*F288)</f>
        <v>0</v>
      </c>
      <c r="I288" s="33">
        <f>D288*1.58*6</f>
        <v>1023.8400000000001</v>
      </c>
      <c r="J288" s="22">
        <f>25.8*3+10.7*6</f>
        <v>141.6</v>
      </c>
      <c r="K288" s="22">
        <f>J288/0.15</f>
        <v>944</v>
      </c>
      <c r="L288" s="22">
        <f>K288/6</f>
        <v>157.33333333333334</v>
      </c>
    </row>
    <row r="289" spans="1:12" x14ac:dyDescent="0.2">
      <c r="A289" s="184"/>
      <c r="B289" s="185" t="s">
        <v>251</v>
      </c>
      <c r="C289" s="186" t="s">
        <v>8</v>
      </c>
      <c r="D289" s="187">
        <v>158</v>
      </c>
      <c r="E289" s="224"/>
      <c r="F289" s="182"/>
      <c r="G289" s="183">
        <f t="shared" si="43"/>
        <v>0</v>
      </c>
      <c r="I289" s="33">
        <f>0.222*D289*6</f>
        <v>210.45600000000002</v>
      </c>
    </row>
    <row r="290" spans="1:12" ht="12.75" thickBot="1" x14ac:dyDescent="0.25">
      <c r="A290" s="195"/>
      <c r="B290" s="196" t="s">
        <v>14</v>
      </c>
      <c r="C290" s="252" t="s">
        <v>9</v>
      </c>
      <c r="D290" s="198">
        <f>D287*20</f>
        <v>24.685920000000007</v>
      </c>
      <c r="E290" s="245"/>
      <c r="F290" s="200"/>
      <c r="G290" s="201">
        <f t="shared" si="43"/>
        <v>0</v>
      </c>
      <c r="I290" s="33">
        <f>SUM(I288:I289)</f>
        <v>1234.2960000000003</v>
      </c>
      <c r="J290" s="33"/>
    </row>
    <row r="291" spans="1:12" x14ac:dyDescent="0.2">
      <c r="A291" s="184"/>
      <c r="B291" s="185"/>
      <c r="C291" s="186"/>
      <c r="D291" s="187"/>
      <c r="E291" s="224"/>
      <c r="F291" s="182"/>
      <c r="G291" s="183"/>
      <c r="I291" s="33"/>
      <c r="J291" s="33"/>
    </row>
    <row r="292" spans="1:12" x14ac:dyDescent="0.2">
      <c r="A292" s="184"/>
      <c r="B292" s="185"/>
      <c r="C292" s="186"/>
      <c r="D292" s="187"/>
      <c r="E292" s="224"/>
      <c r="F292" s="182"/>
      <c r="G292" s="183"/>
      <c r="I292" s="33"/>
      <c r="J292" s="33"/>
    </row>
    <row r="293" spans="1:12" x14ac:dyDescent="0.2">
      <c r="A293" s="170" t="s">
        <v>163</v>
      </c>
      <c r="B293" s="171" t="s">
        <v>219</v>
      </c>
      <c r="C293" s="218"/>
      <c r="D293" s="219"/>
      <c r="E293" s="220"/>
      <c r="F293" s="221"/>
      <c r="G293" s="222">
        <f>(D293*E293)+(D293*F293)</f>
        <v>0</v>
      </c>
    </row>
    <row r="294" spans="1:12" x14ac:dyDescent="0.2">
      <c r="A294" s="237" t="s">
        <v>201</v>
      </c>
      <c r="B294" s="189" t="s">
        <v>344</v>
      </c>
      <c r="C294" s="186"/>
      <c r="D294" s="187"/>
      <c r="E294" s="224"/>
      <c r="F294" s="182"/>
      <c r="G294" s="183">
        <f t="shared" ref="G294:G307" si="44">(D294*E294)+(D294*F294)</f>
        <v>0</v>
      </c>
    </row>
    <row r="295" spans="1:12" ht="40.5" customHeight="1" x14ac:dyDescent="0.2">
      <c r="A295" s="238"/>
      <c r="B295" s="185" t="s">
        <v>345</v>
      </c>
      <c r="C295" s="186" t="s">
        <v>150</v>
      </c>
      <c r="D295" s="187">
        <v>7.46</v>
      </c>
      <c r="E295" s="224"/>
      <c r="F295" s="182"/>
      <c r="G295" s="183">
        <f t="shared" si="44"/>
        <v>0</v>
      </c>
      <c r="I295" s="22">
        <f>19.3*0.09*4</f>
        <v>6.9480000000000004</v>
      </c>
      <c r="K295" s="22">
        <f>22.6*0.15*0.15</f>
        <v>0.50849999999999995</v>
      </c>
      <c r="L295" s="22">
        <f>SUM(I295:K295)</f>
        <v>7.4565000000000001</v>
      </c>
    </row>
    <row r="296" spans="1:12" ht="12" customHeight="1" x14ac:dyDescent="0.2">
      <c r="A296" s="237" t="s">
        <v>202</v>
      </c>
      <c r="B296" s="189" t="s">
        <v>346</v>
      </c>
      <c r="C296" s="186"/>
      <c r="D296" s="187"/>
      <c r="E296" s="224"/>
      <c r="F296" s="182"/>
      <c r="G296" s="183">
        <f t="shared" ref="G296:G297" si="45">(D296*E296)+(D296*F296)</f>
        <v>0</v>
      </c>
    </row>
    <row r="297" spans="1:12" ht="56.25" customHeight="1" x14ac:dyDescent="0.2">
      <c r="A297" s="238"/>
      <c r="B297" s="185" t="s">
        <v>466</v>
      </c>
      <c r="C297" s="186" t="s">
        <v>150</v>
      </c>
      <c r="D297" s="187">
        <v>2.35</v>
      </c>
      <c r="E297" s="224"/>
      <c r="F297" s="182"/>
      <c r="G297" s="183">
        <f t="shared" si="45"/>
        <v>0</v>
      </c>
      <c r="I297" s="22">
        <f>24+3.6</f>
        <v>27.6</v>
      </c>
      <c r="J297" s="22">
        <f>I297*0.85*0.1</f>
        <v>2.3460000000000001</v>
      </c>
    </row>
    <row r="298" spans="1:12" ht="13.5" customHeight="1" x14ac:dyDescent="0.2">
      <c r="A298" s="237" t="s">
        <v>204</v>
      </c>
      <c r="B298" s="189" t="s">
        <v>389</v>
      </c>
      <c r="C298" s="186"/>
      <c r="D298" s="187"/>
      <c r="E298" s="224"/>
      <c r="F298" s="182"/>
      <c r="G298" s="183">
        <f t="shared" ref="G298:G299" si="46">(D298*E298)+(D298*F298)</f>
        <v>0</v>
      </c>
    </row>
    <row r="299" spans="1:12" ht="62.25" customHeight="1" x14ac:dyDescent="0.2">
      <c r="A299" s="238"/>
      <c r="B299" s="185" t="s">
        <v>465</v>
      </c>
      <c r="C299" s="186" t="s">
        <v>150</v>
      </c>
      <c r="D299" s="187">
        <v>0.36</v>
      </c>
      <c r="E299" s="224"/>
      <c r="F299" s="182"/>
      <c r="G299" s="183">
        <f t="shared" si="46"/>
        <v>0</v>
      </c>
      <c r="I299" s="22">
        <f>3.05*5*0.2*0.1</f>
        <v>0.30500000000000005</v>
      </c>
      <c r="J299" s="22">
        <f>1.35*0.2*0.1*2</f>
        <v>5.4000000000000006E-2</v>
      </c>
      <c r="K299" s="22">
        <f>SUM(I299:J299)</f>
        <v>0.35900000000000004</v>
      </c>
    </row>
    <row r="300" spans="1:12" ht="12" customHeight="1" x14ac:dyDescent="0.2">
      <c r="A300" s="237" t="s">
        <v>203</v>
      </c>
      <c r="B300" s="189" t="s">
        <v>441</v>
      </c>
      <c r="C300" s="186"/>
      <c r="D300" s="187"/>
      <c r="E300" s="224"/>
      <c r="F300" s="182"/>
      <c r="G300" s="183">
        <f>(D300*E300)+(D300*F300)</f>
        <v>0</v>
      </c>
    </row>
    <row r="301" spans="1:12" ht="61.5" customHeight="1" x14ac:dyDescent="0.2">
      <c r="A301" s="238"/>
      <c r="B301" s="239" t="s">
        <v>442</v>
      </c>
      <c r="C301" s="186" t="s">
        <v>150</v>
      </c>
      <c r="D301" s="240">
        <v>1.6</v>
      </c>
      <c r="E301" s="181"/>
      <c r="F301" s="182"/>
      <c r="G301" s="183">
        <f t="shared" ref="G301" si="47">(D301*E301)+(D301*F301)</f>
        <v>0</v>
      </c>
    </row>
    <row r="302" spans="1:12" ht="17.25" customHeight="1" x14ac:dyDescent="0.2">
      <c r="A302" s="237" t="s">
        <v>335</v>
      </c>
      <c r="B302" s="189" t="s">
        <v>443</v>
      </c>
      <c r="C302" s="186"/>
      <c r="D302" s="187"/>
      <c r="E302" s="224"/>
      <c r="F302" s="182"/>
      <c r="G302" s="183">
        <f>(D302*E302)+(D302*F302)</f>
        <v>0</v>
      </c>
    </row>
    <row r="303" spans="1:12" ht="62.25" customHeight="1" x14ac:dyDescent="0.2">
      <c r="A303" s="238"/>
      <c r="B303" s="239" t="s">
        <v>444</v>
      </c>
      <c r="C303" s="186" t="s">
        <v>150</v>
      </c>
      <c r="D303" s="240">
        <v>0.55000000000000004</v>
      </c>
      <c r="E303" s="181"/>
      <c r="F303" s="182"/>
      <c r="G303" s="183">
        <f t="shared" ref="G303" si="48">(D303*E303)+(D303*F303)</f>
        <v>0</v>
      </c>
      <c r="I303" s="22">
        <f>1.8*0.95*0.075*2</f>
        <v>0.25650000000000001</v>
      </c>
      <c r="J303" s="22">
        <f>0.2*0.2*1.8*4</f>
        <v>0.28800000000000009</v>
      </c>
      <c r="K303" s="22">
        <f>SUM(I303:J303)</f>
        <v>0.5445000000000001</v>
      </c>
    </row>
    <row r="304" spans="1:12" x14ac:dyDescent="0.2">
      <c r="A304" s="188" t="s">
        <v>164</v>
      </c>
      <c r="B304" s="189" t="s">
        <v>284</v>
      </c>
      <c r="C304" s="186"/>
      <c r="D304" s="187"/>
      <c r="E304" s="224"/>
      <c r="F304" s="182"/>
      <c r="G304" s="183">
        <f t="shared" si="44"/>
        <v>0</v>
      </c>
    </row>
    <row r="305" spans="1:13" ht="36" x14ac:dyDescent="0.2">
      <c r="A305" s="238" t="s">
        <v>65</v>
      </c>
      <c r="B305" s="185" t="s">
        <v>213</v>
      </c>
      <c r="C305" s="186" t="s">
        <v>151</v>
      </c>
      <c r="D305" s="187">
        <f>D96+D144+D145+D146+D370</f>
        <v>448.62</v>
      </c>
      <c r="E305" s="224"/>
      <c r="F305" s="182"/>
      <c r="G305" s="183">
        <f t="shared" si="44"/>
        <v>0</v>
      </c>
      <c r="J305" s="33"/>
    </row>
    <row r="306" spans="1:13" ht="40.5" customHeight="1" x14ac:dyDescent="0.2">
      <c r="A306" s="238" t="s">
        <v>66</v>
      </c>
      <c r="B306" s="185" t="s">
        <v>180</v>
      </c>
      <c r="C306" s="186" t="s">
        <v>15</v>
      </c>
      <c r="D306" s="187">
        <v>1</v>
      </c>
      <c r="E306" s="224"/>
      <c r="F306" s="182"/>
      <c r="G306" s="183">
        <f t="shared" ref="G306" si="49">(D306*E306)+(D306*F306)</f>
        <v>0</v>
      </c>
    </row>
    <row r="307" spans="1:13" ht="38.25" customHeight="1" x14ac:dyDescent="0.2">
      <c r="A307" s="238" t="s">
        <v>70</v>
      </c>
      <c r="B307" s="185" t="s">
        <v>190</v>
      </c>
      <c r="C307" s="186" t="s">
        <v>15</v>
      </c>
      <c r="D307" s="187">
        <v>1</v>
      </c>
      <c r="E307" s="224"/>
      <c r="F307" s="182"/>
      <c r="G307" s="183">
        <f t="shared" si="44"/>
        <v>0</v>
      </c>
      <c r="I307" s="33"/>
      <c r="J307" s="51"/>
      <c r="K307" s="51"/>
      <c r="L307" s="33"/>
      <c r="M307" s="51"/>
    </row>
    <row r="308" spans="1:13" x14ac:dyDescent="0.2">
      <c r="A308" s="184"/>
      <c r="B308" s="241"/>
      <c r="C308" s="190"/>
      <c r="D308" s="191"/>
      <c r="E308" s="224"/>
      <c r="F308" s="182"/>
      <c r="G308" s="183"/>
      <c r="I308" s="51"/>
      <c r="J308" s="51"/>
      <c r="K308" s="51"/>
      <c r="L308" s="51"/>
      <c r="M308" s="51"/>
    </row>
    <row r="309" spans="1:13" x14ac:dyDescent="0.2">
      <c r="A309" s="184"/>
      <c r="B309" s="241"/>
      <c r="C309" s="190"/>
      <c r="D309" s="191"/>
      <c r="E309" s="224"/>
      <c r="F309" s="182"/>
      <c r="G309" s="183"/>
      <c r="I309" s="51"/>
      <c r="J309" s="51"/>
      <c r="K309" s="51"/>
      <c r="L309" s="51"/>
      <c r="M309" s="51"/>
    </row>
    <row r="310" spans="1:13" x14ac:dyDescent="0.2">
      <c r="A310" s="184"/>
      <c r="B310" s="241"/>
      <c r="C310" s="190"/>
      <c r="D310" s="191"/>
      <c r="E310" s="224"/>
      <c r="F310" s="182"/>
      <c r="G310" s="183"/>
      <c r="I310" s="51"/>
      <c r="J310" s="51"/>
      <c r="K310" s="51"/>
      <c r="L310" s="51"/>
      <c r="M310" s="51"/>
    </row>
    <row r="311" spans="1:13" x14ac:dyDescent="0.2">
      <c r="A311" s="184"/>
      <c r="B311" s="241"/>
      <c r="C311" s="190"/>
      <c r="D311" s="191"/>
      <c r="E311" s="224"/>
      <c r="F311" s="182"/>
      <c r="G311" s="183"/>
      <c r="I311" s="51"/>
      <c r="J311" s="51"/>
      <c r="K311" s="51"/>
      <c r="L311" s="51"/>
      <c r="M311" s="51"/>
    </row>
    <row r="312" spans="1:13" x14ac:dyDescent="0.2">
      <c r="A312" s="184"/>
      <c r="B312" s="241"/>
      <c r="C312" s="190"/>
      <c r="D312" s="191"/>
      <c r="E312" s="224"/>
      <c r="F312" s="182"/>
      <c r="G312" s="183"/>
      <c r="I312" s="51"/>
      <c r="J312" s="51"/>
      <c r="K312" s="51"/>
      <c r="L312" s="51"/>
      <c r="M312" s="51"/>
    </row>
    <row r="313" spans="1:13" x14ac:dyDescent="0.2">
      <c r="A313" s="184"/>
      <c r="B313" s="241"/>
      <c r="C313" s="190"/>
      <c r="D313" s="191"/>
      <c r="E313" s="224"/>
      <c r="F313" s="182"/>
      <c r="G313" s="183"/>
      <c r="I313" s="51"/>
      <c r="J313" s="51"/>
      <c r="K313" s="51"/>
      <c r="L313" s="51"/>
      <c r="M313" s="51"/>
    </row>
    <row r="314" spans="1:13" x14ac:dyDescent="0.2">
      <c r="A314" s="184"/>
      <c r="B314" s="241"/>
      <c r="C314" s="190"/>
      <c r="D314" s="191"/>
      <c r="E314" s="224"/>
      <c r="F314" s="182"/>
      <c r="G314" s="183"/>
      <c r="I314" s="51"/>
      <c r="J314" s="51"/>
      <c r="K314" s="51"/>
      <c r="L314" s="51"/>
      <c r="M314" s="51"/>
    </row>
    <row r="315" spans="1:13" x14ac:dyDescent="0.2">
      <c r="A315" s="184"/>
      <c r="B315" s="241"/>
      <c r="C315" s="190"/>
      <c r="D315" s="191"/>
      <c r="E315" s="224"/>
      <c r="F315" s="182"/>
      <c r="G315" s="183"/>
      <c r="I315" s="51"/>
      <c r="J315" s="51"/>
      <c r="K315" s="51"/>
      <c r="L315" s="51"/>
      <c r="M315" s="51"/>
    </row>
    <row r="316" spans="1:13" x14ac:dyDescent="0.2">
      <c r="A316" s="184"/>
      <c r="B316" s="241"/>
      <c r="C316" s="190"/>
      <c r="D316" s="191"/>
      <c r="E316" s="224"/>
      <c r="F316" s="182"/>
      <c r="G316" s="183"/>
      <c r="I316" s="51"/>
      <c r="J316" s="51"/>
      <c r="K316" s="51"/>
      <c r="L316" s="51"/>
      <c r="M316" s="51"/>
    </row>
    <row r="317" spans="1:13" x14ac:dyDescent="0.2">
      <c r="A317" s="184"/>
      <c r="B317" s="241"/>
      <c r="C317" s="190"/>
      <c r="D317" s="191"/>
      <c r="E317" s="224"/>
      <c r="F317" s="182"/>
      <c r="G317" s="183"/>
      <c r="I317" s="51"/>
      <c r="J317" s="51"/>
      <c r="K317" s="51"/>
      <c r="L317" s="51"/>
      <c r="M317" s="51"/>
    </row>
    <row r="318" spans="1:13" x14ac:dyDescent="0.2">
      <c r="A318" s="184"/>
      <c r="B318" s="241"/>
      <c r="C318" s="190"/>
      <c r="D318" s="191"/>
      <c r="E318" s="224"/>
      <c r="F318" s="182"/>
      <c r="G318" s="183"/>
      <c r="I318" s="51"/>
      <c r="J318" s="51"/>
      <c r="K318" s="51"/>
      <c r="L318" s="51"/>
      <c r="M318" s="51"/>
    </row>
    <row r="319" spans="1:13" x14ac:dyDescent="0.2">
      <c r="A319" s="184"/>
      <c r="B319" s="241"/>
      <c r="C319" s="190"/>
      <c r="D319" s="191"/>
      <c r="E319" s="224"/>
      <c r="F319" s="182"/>
      <c r="G319" s="183"/>
      <c r="I319" s="51"/>
      <c r="J319" s="51"/>
      <c r="K319" s="51"/>
      <c r="L319" s="51"/>
      <c r="M319" s="51"/>
    </row>
    <row r="320" spans="1:13" x14ac:dyDescent="0.2">
      <c r="A320" s="184"/>
      <c r="B320" s="241"/>
      <c r="C320" s="190"/>
      <c r="D320" s="191"/>
      <c r="E320" s="224"/>
      <c r="F320" s="182"/>
      <c r="G320" s="183"/>
      <c r="I320" s="51"/>
      <c r="J320" s="51"/>
      <c r="K320" s="51"/>
      <c r="L320" s="51"/>
      <c r="M320" s="51"/>
    </row>
    <row r="321" spans="1:14" ht="12.75" thickBot="1" x14ac:dyDescent="0.25">
      <c r="A321" s="195"/>
      <c r="B321" s="242"/>
      <c r="C321" s="243"/>
      <c r="D321" s="244"/>
      <c r="E321" s="245"/>
      <c r="F321" s="200"/>
      <c r="G321" s="201"/>
      <c r="I321" s="51"/>
      <c r="J321" s="51"/>
      <c r="K321" s="51"/>
      <c r="L321" s="51"/>
      <c r="M321" s="51"/>
    </row>
    <row r="322" spans="1:14" x14ac:dyDescent="0.2">
      <c r="A322" s="153"/>
      <c r="B322" s="154" t="s">
        <v>159</v>
      </c>
      <c r="C322" s="166"/>
      <c r="D322" s="156"/>
      <c r="E322" s="157"/>
      <c r="F322" s="209"/>
      <c r="G322" s="211"/>
    </row>
    <row r="323" spans="1:14" ht="12.75" thickBot="1" x14ac:dyDescent="0.25">
      <c r="A323" s="159"/>
      <c r="B323" s="142" t="s">
        <v>187</v>
      </c>
      <c r="C323" s="167"/>
      <c r="D323" s="161"/>
      <c r="E323" s="162"/>
      <c r="F323" s="144"/>
      <c r="G323" s="212">
        <f>SUM(G96:G307)</f>
        <v>0</v>
      </c>
    </row>
    <row r="324" spans="1:14" x14ac:dyDescent="0.2">
      <c r="A324" s="65"/>
      <c r="B324" s="79"/>
      <c r="C324" s="74"/>
      <c r="D324" s="61"/>
      <c r="E324" s="69"/>
      <c r="F324" s="49"/>
      <c r="G324" s="93"/>
    </row>
    <row r="325" spans="1:14" x14ac:dyDescent="0.2">
      <c r="A325" s="65"/>
      <c r="B325" s="100" t="s">
        <v>104</v>
      </c>
      <c r="C325" s="74"/>
      <c r="D325" s="61"/>
      <c r="E325" s="69"/>
      <c r="F325" s="49"/>
      <c r="G325" s="75"/>
    </row>
    <row r="326" spans="1:14" x14ac:dyDescent="0.2">
      <c r="A326" s="65"/>
      <c r="B326" s="66" t="s">
        <v>105</v>
      </c>
      <c r="C326" s="74"/>
      <c r="D326" s="61"/>
      <c r="E326" s="69"/>
      <c r="F326" s="49"/>
      <c r="G326" s="75"/>
    </row>
    <row r="327" spans="1:14" x14ac:dyDescent="0.2">
      <c r="A327" s="101">
        <v>4.0999999999999996</v>
      </c>
      <c r="B327" s="73" t="s">
        <v>41</v>
      </c>
      <c r="C327" s="74"/>
      <c r="D327" s="61"/>
      <c r="E327" s="69"/>
      <c r="F327" s="49"/>
      <c r="G327" s="75"/>
    </row>
    <row r="328" spans="1:14" ht="63" customHeight="1" x14ac:dyDescent="0.2">
      <c r="A328" s="65"/>
      <c r="B328" s="76" t="s">
        <v>221</v>
      </c>
      <c r="C328" s="76"/>
      <c r="D328" s="76"/>
      <c r="E328" s="76"/>
      <c r="F328" s="76"/>
      <c r="G328" s="97"/>
    </row>
    <row r="329" spans="1:14" ht="63" customHeight="1" x14ac:dyDescent="0.2">
      <c r="A329" s="65"/>
      <c r="B329" s="76" t="s">
        <v>220</v>
      </c>
      <c r="C329" s="102"/>
      <c r="D329" s="102"/>
      <c r="E329" s="102"/>
      <c r="F329" s="102"/>
      <c r="G329" s="103"/>
    </row>
    <row r="330" spans="1:14" ht="39" customHeight="1" x14ac:dyDescent="0.2">
      <c r="A330" s="65"/>
      <c r="B330" s="76" t="s">
        <v>294</v>
      </c>
      <c r="C330" s="102"/>
      <c r="D330" s="102"/>
      <c r="E330" s="102"/>
      <c r="F330" s="102"/>
      <c r="G330" s="103"/>
    </row>
    <row r="331" spans="1:14" x14ac:dyDescent="0.2">
      <c r="A331" s="253" t="s">
        <v>143</v>
      </c>
      <c r="B331" s="254" t="s">
        <v>146</v>
      </c>
      <c r="C331" s="255"/>
      <c r="D331" s="256"/>
      <c r="E331" s="257"/>
      <c r="F331" s="258"/>
      <c r="G331" s="259"/>
    </row>
    <row r="332" spans="1:14" x14ac:dyDescent="0.2">
      <c r="A332" s="170" t="s">
        <v>160</v>
      </c>
      <c r="B332" s="260" t="s">
        <v>145</v>
      </c>
      <c r="C332" s="172"/>
      <c r="D332" s="173"/>
      <c r="E332" s="174"/>
      <c r="F332" s="175"/>
      <c r="G332" s="176"/>
      <c r="I332" s="33"/>
    </row>
    <row r="333" spans="1:14" x14ac:dyDescent="0.2">
      <c r="A333" s="188"/>
      <c r="B333" s="261" t="s">
        <v>214</v>
      </c>
      <c r="C333" s="190"/>
      <c r="D333" s="191"/>
      <c r="E333" s="192"/>
      <c r="F333" s="193"/>
      <c r="G333" s="183"/>
    </row>
    <row r="334" spans="1:14" ht="24" x14ac:dyDescent="0.2">
      <c r="A334" s="184"/>
      <c r="B334" s="185" t="s">
        <v>467</v>
      </c>
      <c r="C334" s="186" t="s">
        <v>151</v>
      </c>
      <c r="D334" s="187">
        <v>70.400000000000006</v>
      </c>
      <c r="E334" s="224"/>
      <c r="F334" s="182"/>
      <c r="G334" s="183">
        <f t="shared" ref="G334" si="50">(D334*E334)+(D334*F334)</f>
        <v>0</v>
      </c>
      <c r="I334" s="51">
        <f>25.8*4</f>
        <v>103.2</v>
      </c>
      <c r="J334" s="51">
        <f>I334-4</f>
        <v>99.2</v>
      </c>
      <c r="K334" s="22">
        <f>10.7*6</f>
        <v>64.199999999999989</v>
      </c>
      <c r="L334" s="22">
        <f>K334-7</f>
        <v>57.199999999999989</v>
      </c>
      <c r="M334" s="33">
        <f>J334+L334</f>
        <v>156.39999999999998</v>
      </c>
      <c r="N334" s="33">
        <f>M334*0.45</f>
        <v>70.38</v>
      </c>
    </row>
    <row r="335" spans="1:14" x14ac:dyDescent="0.2">
      <c r="A335" s="170" t="s">
        <v>161</v>
      </c>
      <c r="B335" s="260" t="s">
        <v>67</v>
      </c>
      <c r="C335" s="172"/>
      <c r="D335" s="173"/>
      <c r="E335" s="174"/>
      <c r="F335" s="175"/>
      <c r="G335" s="176"/>
    </row>
    <row r="336" spans="1:14" x14ac:dyDescent="0.2">
      <c r="A336" s="188" t="s">
        <v>177</v>
      </c>
      <c r="B336" s="261" t="s">
        <v>349</v>
      </c>
      <c r="C336" s="190"/>
      <c r="D336" s="191"/>
      <c r="E336" s="192"/>
      <c r="F336" s="193"/>
      <c r="G336" s="183">
        <f t="shared" ref="G336:G339" si="51">(D336*E336)+(D336*F336)</f>
        <v>0</v>
      </c>
    </row>
    <row r="337" spans="1:16" ht="24" x14ac:dyDescent="0.2">
      <c r="A337" s="238" t="s">
        <v>201</v>
      </c>
      <c r="B337" s="185" t="s">
        <v>350</v>
      </c>
      <c r="C337" s="186" t="s">
        <v>151</v>
      </c>
      <c r="D337" s="187">
        <v>111.66</v>
      </c>
      <c r="E337" s="224"/>
      <c r="F337" s="182"/>
      <c r="G337" s="183">
        <f t="shared" si="51"/>
        <v>0</v>
      </c>
      <c r="I337" s="22">
        <f>3*16+1.65+8.3*2</f>
        <v>66.25</v>
      </c>
      <c r="J337" s="22">
        <f>I337*2.875</f>
        <v>190.46875</v>
      </c>
      <c r="K337" s="22">
        <v>52.1</v>
      </c>
      <c r="L337" s="22">
        <f>J337-K337</f>
        <v>138.36875000000001</v>
      </c>
      <c r="M337" s="22">
        <f>L337*103%</f>
        <v>142.5198125</v>
      </c>
      <c r="N337" s="22">
        <f>1.35+3+1.5</f>
        <v>5.85</v>
      </c>
      <c r="O337" s="22">
        <f>N337*3.275</f>
        <v>19.158749999999998</v>
      </c>
      <c r="P337" s="22">
        <f>M337-O337</f>
        <v>123.3610625</v>
      </c>
    </row>
    <row r="338" spans="1:16" ht="24" x14ac:dyDescent="0.2">
      <c r="A338" s="238" t="s">
        <v>202</v>
      </c>
      <c r="B338" s="185" t="s">
        <v>352</v>
      </c>
      <c r="C338" s="186" t="s">
        <v>151</v>
      </c>
      <c r="D338" s="187">
        <v>5.45</v>
      </c>
      <c r="E338" s="224"/>
      <c r="F338" s="182"/>
      <c r="G338" s="183">
        <f t="shared" si="51"/>
        <v>0</v>
      </c>
      <c r="I338" s="22">
        <f>0.45*1.725*7</f>
        <v>5.4337500000000007</v>
      </c>
    </row>
    <row r="339" spans="1:16" x14ac:dyDescent="0.2">
      <c r="A339" s="188" t="s">
        <v>178</v>
      </c>
      <c r="B339" s="261" t="s">
        <v>348</v>
      </c>
      <c r="C339" s="190"/>
      <c r="D339" s="191"/>
      <c r="E339" s="192"/>
      <c r="F339" s="193"/>
      <c r="G339" s="183">
        <f t="shared" si="51"/>
        <v>0</v>
      </c>
    </row>
    <row r="340" spans="1:16" ht="24" x14ac:dyDescent="0.2">
      <c r="A340" s="238" t="s">
        <v>201</v>
      </c>
      <c r="B340" s="185" t="s">
        <v>350</v>
      </c>
      <c r="C340" s="186" t="s">
        <v>151</v>
      </c>
      <c r="D340" s="187">
        <v>83.74</v>
      </c>
      <c r="E340" s="224"/>
      <c r="F340" s="182"/>
      <c r="G340" s="183">
        <f t="shared" ref="G340:G341" si="52">(D340*E340)+(D340*F340)</f>
        <v>0</v>
      </c>
      <c r="I340" s="22">
        <f>4.08*4+3.82*4</f>
        <v>31.6</v>
      </c>
      <c r="J340" s="22">
        <f>I340*2.65</f>
        <v>83.74</v>
      </c>
    </row>
    <row r="341" spans="1:16" ht="13.5" x14ac:dyDescent="0.2">
      <c r="A341" s="184" t="s">
        <v>202</v>
      </c>
      <c r="B341" s="262" t="s">
        <v>351</v>
      </c>
      <c r="C341" s="186" t="s">
        <v>151</v>
      </c>
      <c r="D341" s="187">
        <v>42.88</v>
      </c>
      <c r="E341" s="224"/>
      <c r="F341" s="182"/>
      <c r="G341" s="183">
        <f t="shared" si="52"/>
        <v>0</v>
      </c>
      <c r="I341" s="22">
        <f>3.45+2.75+1.55*5+2.7</f>
        <v>16.649999999999999</v>
      </c>
      <c r="J341" s="22">
        <f>I341*2.95</f>
        <v>49.1175</v>
      </c>
      <c r="K341" s="22">
        <f>0.78*2*4</f>
        <v>6.24</v>
      </c>
      <c r="L341" s="22">
        <f>J341-K341</f>
        <v>42.877499999999998</v>
      </c>
    </row>
    <row r="342" spans="1:16" x14ac:dyDescent="0.2">
      <c r="A342" s="184"/>
      <c r="B342" s="262"/>
      <c r="C342" s="186"/>
      <c r="D342" s="187"/>
      <c r="E342" s="224"/>
      <c r="F342" s="182"/>
      <c r="G342" s="183"/>
    </row>
    <row r="343" spans="1:16" x14ac:dyDescent="0.2">
      <c r="A343" s="170" t="s">
        <v>57</v>
      </c>
      <c r="B343" s="260" t="s">
        <v>69</v>
      </c>
      <c r="C343" s="172"/>
      <c r="D343" s="173"/>
      <c r="E343" s="174"/>
      <c r="F343" s="175"/>
      <c r="G343" s="176"/>
    </row>
    <row r="344" spans="1:16" x14ac:dyDescent="0.2">
      <c r="A344" s="188" t="s">
        <v>177</v>
      </c>
      <c r="B344" s="261" t="s">
        <v>349</v>
      </c>
      <c r="C344" s="190"/>
      <c r="D344" s="191"/>
      <c r="E344" s="192"/>
      <c r="F344" s="193"/>
      <c r="G344" s="183">
        <f t="shared" ref="G344:G346" si="53">(D344*E344)+(D344*F344)</f>
        <v>0</v>
      </c>
    </row>
    <row r="345" spans="1:16" ht="24" x14ac:dyDescent="0.2">
      <c r="A345" s="238" t="s">
        <v>201</v>
      </c>
      <c r="B345" s="185" t="s">
        <v>350</v>
      </c>
      <c r="C345" s="186" t="s">
        <v>151</v>
      </c>
      <c r="D345" s="187">
        <v>108.15</v>
      </c>
      <c r="E345" s="224"/>
      <c r="F345" s="182"/>
      <c r="G345" s="183">
        <f t="shared" si="53"/>
        <v>0</v>
      </c>
      <c r="I345" s="22">
        <f>3*16+1.65+8.3*2</f>
        <v>66.25</v>
      </c>
      <c r="J345" s="22">
        <f>I345*2.7</f>
        <v>178.875</v>
      </c>
      <c r="K345" s="22">
        <v>53.36</v>
      </c>
      <c r="L345" s="22">
        <f>J345-K345</f>
        <v>125.515</v>
      </c>
      <c r="M345" s="22">
        <f>L345*103%</f>
        <v>129.28045</v>
      </c>
      <c r="N345" s="22">
        <f>1.35+6</f>
        <v>7.35</v>
      </c>
      <c r="O345" s="22">
        <f>N345*2.875</f>
        <v>21.131249999999998</v>
      </c>
      <c r="P345" s="22">
        <f>M345-O345</f>
        <v>108.14920000000001</v>
      </c>
    </row>
    <row r="346" spans="1:16" ht="24" x14ac:dyDescent="0.2">
      <c r="A346" s="238" t="s">
        <v>202</v>
      </c>
      <c r="B346" s="185" t="s">
        <v>352</v>
      </c>
      <c r="C346" s="186" t="s">
        <v>151</v>
      </c>
      <c r="D346" s="187">
        <v>5.45</v>
      </c>
      <c r="E346" s="224"/>
      <c r="F346" s="182"/>
      <c r="G346" s="183">
        <f t="shared" si="53"/>
        <v>0</v>
      </c>
      <c r="I346" s="22">
        <f>0.45*1.725*7</f>
        <v>5.4337500000000007</v>
      </c>
    </row>
    <row r="347" spans="1:16" x14ac:dyDescent="0.2">
      <c r="A347" s="188" t="s">
        <v>178</v>
      </c>
      <c r="B347" s="261" t="s">
        <v>348</v>
      </c>
      <c r="C347" s="190"/>
      <c r="D347" s="191"/>
      <c r="E347" s="192"/>
      <c r="F347" s="193"/>
      <c r="G347" s="183">
        <f t="shared" ref="G347:G349" si="54">(D347*E347)+(D347*F347)</f>
        <v>0</v>
      </c>
    </row>
    <row r="348" spans="1:16" ht="24" x14ac:dyDescent="0.2">
      <c r="A348" s="238" t="s">
        <v>201</v>
      </c>
      <c r="B348" s="185" t="s">
        <v>350</v>
      </c>
      <c r="C348" s="186" t="s">
        <v>151</v>
      </c>
      <c r="D348" s="187">
        <v>85.42</v>
      </c>
      <c r="E348" s="224"/>
      <c r="F348" s="182"/>
      <c r="G348" s="183">
        <f t="shared" si="54"/>
        <v>0</v>
      </c>
      <c r="I348" s="22">
        <f>4.08*4+3.82*4</f>
        <v>31.6</v>
      </c>
      <c r="J348" s="22">
        <f>I348*2.7</f>
        <v>85.320000000000007</v>
      </c>
    </row>
    <row r="349" spans="1:16" ht="13.5" x14ac:dyDescent="0.2">
      <c r="A349" s="184" t="s">
        <v>202</v>
      </c>
      <c r="B349" s="262" t="s">
        <v>351</v>
      </c>
      <c r="C349" s="186" t="s">
        <v>151</v>
      </c>
      <c r="D349" s="187">
        <v>37</v>
      </c>
      <c r="E349" s="224"/>
      <c r="F349" s="182"/>
      <c r="G349" s="183">
        <f t="shared" si="54"/>
        <v>0</v>
      </c>
      <c r="I349" s="22">
        <f>3.45+2.75+1.55*5</f>
        <v>13.95</v>
      </c>
      <c r="J349" s="22">
        <f>I349*3.1</f>
        <v>43.244999999999997</v>
      </c>
      <c r="K349" s="22">
        <f>0.78*2*4</f>
        <v>6.24</v>
      </c>
      <c r="L349" s="22">
        <f>J349-K349</f>
        <v>37.004999999999995</v>
      </c>
    </row>
    <row r="350" spans="1:16" x14ac:dyDescent="0.2">
      <c r="A350" s="184"/>
      <c r="B350" s="262"/>
      <c r="C350" s="186"/>
      <c r="D350" s="187"/>
      <c r="E350" s="224"/>
      <c r="F350" s="182"/>
      <c r="G350" s="183"/>
      <c r="K350" s="33"/>
      <c r="L350" s="33"/>
    </row>
    <row r="351" spans="1:16" x14ac:dyDescent="0.2">
      <c r="A351" s="170" t="s">
        <v>163</v>
      </c>
      <c r="B351" s="260" t="s">
        <v>353</v>
      </c>
      <c r="C351" s="172"/>
      <c r="D351" s="173"/>
      <c r="E351" s="174"/>
      <c r="F351" s="175"/>
      <c r="G351" s="176"/>
      <c r="K351" s="33"/>
    </row>
    <row r="352" spans="1:16" x14ac:dyDescent="0.2">
      <c r="A352" s="188" t="s">
        <v>177</v>
      </c>
      <c r="B352" s="261" t="s">
        <v>354</v>
      </c>
      <c r="C352" s="190"/>
      <c r="D352" s="191"/>
      <c r="E352" s="192"/>
      <c r="F352" s="193"/>
      <c r="G352" s="183">
        <f t="shared" ref="G352:G353" si="55">(D352*E352)+(D352*F352)</f>
        <v>0</v>
      </c>
      <c r="K352" s="33"/>
    </row>
    <row r="353" spans="1:12" ht="13.5" x14ac:dyDescent="0.2">
      <c r="A353" s="184"/>
      <c r="B353" s="185" t="s">
        <v>347</v>
      </c>
      <c r="C353" s="186" t="s">
        <v>151</v>
      </c>
      <c r="D353" s="187">
        <v>24.6</v>
      </c>
      <c r="E353" s="224"/>
      <c r="F353" s="182"/>
      <c r="G353" s="183">
        <f t="shared" si="55"/>
        <v>0</v>
      </c>
      <c r="I353" s="22">
        <v>24.6</v>
      </c>
      <c r="K353" s="33"/>
      <c r="L353" s="33"/>
    </row>
    <row r="354" spans="1:12" x14ac:dyDescent="0.2">
      <c r="A354" s="184"/>
      <c r="B354" s="262"/>
      <c r="C354" s="186"/>
      <c r="D354" s="187"/>
      <c r="E354" s="224"/>
      <c r="F354" s="182"/>
      <c r="G354" s="183"/>
      <c r="K354" s="33"/>
    </row>
    <row r="355" spans="1:12" x14ac:dyDescent="0.2">
      <c r="A355" s="184"/>
      <c r="B355" s="262"/>
      <c r="C355" s="186"/>
      <c r="D355" s="187"/>
      <c r="E355" s="224"/>
      <c r="F355" s="182"/>
      <c r="G355" s="183"/>
      <c r="K355" s="33"/>
    </row>
    <row r="356" spans="1:12" x14ac:dyDescent="0.2">
      <c r="A356" s="184"/>
      <c r="B356" s="262"/>
      <c r="C356" s="186"/>
      <c r="D356" s="187"/>
      <c r="E356" s="224"/>
      <c r="F356" s="182"/>
      <c r="G356" s="183"/>
      <c r="K356" s="33"/>
    </row>
    <row r="357" spans="1:12" x14ac:dyDescent="0.2">
      <c r="A357" s="184"/>
      <c r="B357" s="262"/>
      <c r="C357" s="186"/>
      <c r="D357" s="187"/>
      <c r="E357" s="224"/>
      <c r="F357" s="182"/>
      <c r="G357" s="183"/>
      <c r="K357" s="33"/>
    </row>
    <row r="358" spans="1:12" x14ac:dyDescent="0.2">
      <c r="A358" s="184"/>
      <c r="B358" s="262"/>
      <c r="C358" s="186"/>
      <c r="D358" s="187"/>
      <c r="E358" s="224"/>
      <c r="F358" s="182"/>
      <c r="G358" s="183"/>
      <c r="K358" s="33"/>
    </row>
    <row r="359" spans="1:12" x14ac:dyDescent="0.2">
      <c r="A359" s="184"/>
      <c r="B359" s="262"/>
      <c r="C359" s="186"/>
      <c r="D359" s="187"/>
      <c r="E359" s="224"/>
      <c r="F359" s="182"/>
      <c r="G359" s="183"/>
      <c r="K359" s="33"/>
    </row>
    <row r="360" spans="1:12" x14ac:dyDescent="0.2">
      <c r="A360" s="184"/>
      <c r="B360" s="262"/>
      <c r="C360" s="186"/>
      <c r="D360" s="187"/>
      <c r="E360" s="224"/>
      <c r="F360" s="182"/>
      <c r="G360" s="183"/>
      <c r="K360" s="33"/>
    </row>
    <row r="361" spans="1:12" x14ac:dyDescent="0.2">
      <c r="A361" s="184"/>
      <c r="B361" s="262"/>
      <c r="C361" s="186"/>
      <c r="D361" s="187"/>
      <c r="E361" s="224"/>
      <c r="F361" s="182"/>
      <c r="G361" s="183"/>
      <c r="K361" s="33"/>
    </row>
    <row r="362" spans="1:12" x14ac:dyDescent="0.2">
      <c r="A362" s="184"/>
      <c r="B362" s="262"/>
      <c r="C362" s="186"/>
      <c r="D362" s="187"/>
      <c r="E362" s="224"/>
      <c r="F362" s="182"/>
      <c r="G362" s="183"/>
      <c r="K362" s="33"/>
    </row>
    <row r="363" spans="1:12" ht="12.75" thickBot="1" x14ac:dyDescent="0.25">
      <c r="A363" s="195"/>
      <c r="B363" s="274"/>
      <c r="C363" s="252"/>
      <c r="D363" s="198"/>
      <c r="E363" s="245"/>
      <c r="F363" s="200"/>
      <c r="G363" s="201"/>
      <c r="K363" s="33"/>
    </row>
    <row r="364" spans="1:12" x14ac:dyDescent="0.2">
      <c r="A364" s="263">
        <v>4.3</v>
      </c>
      <c r="B364" s="264" t="s">
        <v>106</v>
      </c>
      <c r="C364" s="265"/>
      <c r="D364" s="266"/>
      <c r="E364" s="267"/>
      <c r="F364" s="266"/>
      <c r="G364" s="268"/>
      <c r="K364" s="33"/>
    </row>
    <row r="365" spans="1:12" ht="99" customHeight="1" x14ac:dyDescent="0.2">
      <c r="A365" s="177"/>
      <c r="B365" s="269" t="s">
        <v>216</v>
      </c>
      <c r="C365" s="269"/>
      <c r="D365" s="269"/>
      <c r="E365" s="269"/>
      <c r="F365" s="269"/>
      <c r="G365" s="270"/>
    </row>
    <row r="366" spans="1:12" ht="40.5" customHeight="1" x14ac:dyDescent="0.2">
      <c r="A366" s="177"/>
      <c r="B366" s="269" t="s">
        <v>168</v>
      </c>
      <c r="C366" s="269"/>
      <c r="D366" s="269"/>
      <c r="E366" s="269"/>
      <c r="F366" s="271"/>
      <c r="G366" s="270"/>
    </row>
    <row r="367" spans="1:12" ht="51" customHeight="1" x14ac:dyDescent="0.2">
      <c r="A367" s="177"/>
      <c r="B367" s="269" t="s">
        <v>293</v>
      </c>
      <c r="C367" s="269"/>
      <c r="D367" s="269"/>
      <c r="E367" s="269"/>
      <c r="F367" s="271"/>
      <c r="G367" s="270"/>
    </row>
    <row r="368" spans="1:12" x14ac:dyDescent="0.2">
      <c r="A368" s="170" t="s">
        <v>160</v>
      </c>
      <c r="B368" s="260" t="s">
        <v>145</v>
      </c>
      <c r="C368" s="172"/>
      <c r="D368" s="173"/>
      <c r="E368" s="174"/>
      <c r="F368" s="175"/>
      <c r="G368" s="176"/>
    </row>
    <row r="369" spans="1:19" x14ac:dyDescent="0.2">
      <c r="A369" s="184" t="s">
        <v>177</v>
      </c>
      <c r="B369" s="272" t="s">
        <v>274</v>
      </c>
      <c r="C369" s="190"/>
      <c r="D369" s="191"/>
      <c r="E369" s="192"/>
      <c r="F369" s="193"/>
      <c r="G369" s="183"/>
    </row>
    <row r="370" spans="1:19" ht="13.5" x14ac:dyDescent="0.2">
      <c r="A370" s="184"/>
      <c r="B370" s="262" t="s">
        <v>273</v>
      </c>
      <c r="C370" s="186" t="s">
        <v>151</v>
      </c>
      <c r="D370" s="187">
        <v>145.19999999999999</v>
      </c>
      <c r="E370" s="224"/>
      <c r="F370" s="182"/>
      <c r="G370" s="183">
        <f t="shared" ref="G370" si="56">(D370*E370)+(D370*F370)</f>
        <v>0</v>
      </c>
      <c r="I370" s="22">
        <f>11*0.4</f>
        <v>4.4000000000000004</v>
      </c>
      <c r="J370" s="33">
        <f>D370+I370</f>
        <v>149.6</v>
      </c>
    </row>
    <row r="371" spans="1:19" x14ac:dyDescent="0.2">
      <c r="A371" s="170" t="s">
        <v>161</v>
      </c>
      <c r="B371" s="260" t="s">
        <v>67</v>
      </c>
      <c r="C371" s="172"/>
      <c r="D371" s="173"/>
      <c r="E371" s="174"/>
      <c r="F371" s="175"/>
      <c r="G371" s="176"/>
    </row>
    <row r="372" spans="1:19" s="52" customFormat="1" ht="15" customHeight="1" x14ac:dyDescent="0.2">
      <c r="A372" s="188" t="s">
        <v>177</v>
      </c>
      <c r="B372" s="261" t="s">
        <v>270</v>
      </c>
      <c r="C372" s="190"/>
      <c r="D372" s="191"/>
      <c r="E372" s="192"/>
      <c r="F372" s="273"/>
      <c r="G372" s="183">
        <f t="shared" ref="G372:G373" si="57">(D372*E372)+(D372*F372)</f>
        <v>0</v>
      </c>
      <c r="O372" s="22"/>
      <c r="P372" s="22"/>
      <c r="Q372" s="22"/>
      <c r="R372" s="22"/>
      <c r="S372" s="22"/>
    </row>
    <row r="373" spans="1:19" ht="13.5" x14ac:dyDescent="0.2">
      <c r="A373" s="184"/>
      <c r="B373" s="262" t="s">
        <v>147</v>
      </c>
      <c r="C373" s="186" t="s">
        <v>151</v>
      </c>
      <c r="D373" s="187">
        <v>217.2</v>
      </c>
      <c r="E373" s="224"/>
      <c r="F373" s="182"/>
      <c r="G373" s="183">
        <f t="shared" si="57"/>
        <v>0</v>
      </c>
      <c r="I373" s="22">
        <f>25.8*2+8.7*2</f>
        <v>69</v>
      </c>
      <c r="J373" s="22">
        <f>I373*3.475</f>
        <v>239.77500000000001</v>
      </c>
      <c r="K373" s="51">
        <v>52.1</v>
      </c>
      <c r="L373" s="51">
        <f>J373-K373</f>
        <v>187.67500000000001</v>
      </c>
      <c r="M373" s="51">
        <f>L373*103%</f>
        <v>193.30525000000003</v>
      </c>
      <c r="N373" s="22">
        <f>(1.5+3)*3.875</f>
        <v>17.4375</v>
      </c>
      <c r="O373" s="51">
        <f>M373-N373</f>
        <v>175.86775000000003</v>
      </c>
      <c r="P373" s="22">
        <f>25.8+4</f>
        <v>29.8</v>
      </c>
      <c r="Q373" s="22">
        <f>P373*0.65</f>
        <v>19.37</v>
      </c>
    </row>
    <row r="374" spans="1:19" x14ac:dyDescent="0.2">
      <c r="A374" s="184"/>
      <c r="B374" s="262"/>
      <c r="C374" s="186"/>
      <c r="D374" s="187"/>
      <c r="E374" s="224"/>
      <c r="F374" s="182"/>
      <c r="G374" s="183"/>
      <c r="I374" s="22">
        <f>0.45*1.725*9</f>
        <v>6.986250000000001</v>
      </c>
      <c r="O374" s="22" t="s">
        <v>489</v>
      </c>
      <c r="P374" s="22">
        <f>0.8*9*3.05</f>
        <v>21.96</v>
      </c>
      <c r="Q374" s="51">
        <f>Q373+O373+P374</f>
        <v>217.19775000000004</v>
      </c>
    </row>
    <row r="375" spans="1:19" x14ac:dyDescent="0.2">
      <c r="A375" s="237" t="s">
        <v>178</v>
      </c>
      <c r="B375" s="241" t="s">
        <v>271</v>
      </c>
      <c r="C375" s="190"/>
      <c r="D375" s="191"/>
      <c r="E375" s="192"/>
      <c r="F375" s="193"/>
      <c r="G375" s="183">
        <f t="shared" ref="G375:G376" si="58">(D375*E375)+(D375*F375)</f>
        <v>0</v>
      </c>
    </row>
    <row r="376" spans="1:19" ht="25.5" customHeight="1" x14ac:dyDescent="0.2">
      <c r="A376" s="184"/>
      <c r="B376" s="185" t="s">
        <v>272</v>
      </c>
      <c r="C376" s="186" t="s">
        <v>151</v>
      </c>
      <c r="D376" s="187">
        <v>435.34</v>
      </c>
      <c r="E376" s="224"/>
      <c r="F376" s="182"/>
      <c r="G376" s="183">
        <f t="shared" si="58"/>
        <v>0</v>
      </c>
      <c r="I376" s="22">
        <f>8.3*4</f>
        <v>33.200000000000003</v>
      </c>
      <c r="J376" s="22">
        <f>I376*2.95*2</f>
        <v>195.88000000000002</v>
      </c>
      <c r="L376" s="22">
        <f>6.225*6+3*3+8.5*2</f>
        <v>63.349999999999994</v>
      </c>
      <c r="M376" s="22">
        <f>L376*2.95</f>
        <v>186.88249999999999</v>
      </c>
      <c r="N376" s="51">
        <f>M376-K373</f>
        <v>134.7825</v>
      </c>
    </row>
    <row r="377" spans="1:19" ht="12.75" customHeight="1" x14ac:dyDescent="0.2">
      <c r="A377" s="237"/>
      <c r="B377" s="241"/>
      <c r="C377" s="190"/>
      <c r="D377" s="191"/>
      <c r="E377" s="192"/>
      <c r="F377" s="193"/>
      <c r="G377" s="183"/>
      <c r="I377" s="22">
        <f>3.45+2.75+1.55*5+2.7</f>
        <v>16.649999999999999</v>
      </c>
      <c r="J377" s="22">
        <f>I377*2.95*2</f>
        <v>98.234999999999999</v>
      </c>
      <c r="K377" s="22">
        <f>0.78*2*4</f>
        <v>6.24</v>
      </c>
      <c r="L377" s="22">
        <f>J377-K377</f>
        <v>91.995000000000005</v>
      </c>
      <c r="N377" s="51">
        <f>N376+L377+J376</f>
        <v>422.65750000000003</v>
      </c>
      <c r="O377" s="51">
        <f>N377*103%</f>
        <v>435.33722500000005</v>
      </c>
    </row>
    <row r="378" spans="1:19" x14ac:dyDescent="0.2">
      <c r="A378" s="170" t="s">
        <v>57</v>
      </c>
      <c r="B378" s="260" t="s">
        <v>69</v>
      </c>
      <c r="C378" s="172"/>
      <c r="D378" s="173"/>
      <c r="E378" s="174"/>
      <c r="F378" s="175"/>
      <c r="G378" s="176"/>
    </row>
    <row r="379" spans="1:19" x14ac:dyDescent="0.2">
      <c r="A379" s="188" t="s">
        <v>177</v>
      </c>
      <c r="B379" s="261" t="s">
        <v>270</v>
      </c>
      <c r="C379" s="190"/>
      <c r="D379" s="191"/>
      <c r="E379" s="192"/>
      <c r="F379" s="273"/>
      <c r="G379" s="183">
        <f t="shared" ref="G379:G382" si="59">(D379*E379)+(D379*F379)</f>
        <v>0</v>
      </c>
      <c r="I379" s="22">
        <f>25.8*2+8.7*2</f>
        <v>69</v>
      </c>
      <c r="J379" s="22">
        <f>I379*3.1</f>
        <v>213.9</v>
      </c>
      <c r="K379" s="51">
        <v>53.36</v>
      </c>
      <c r="L379" s="51">
        <f>J379-K379</f>
        <v>160.54000000000002</v>
      </c>
      <c r="M379" s="51">
        <f>L379*103%</f>
        <v>165.35620000000003</v>
      </c>
      <c r="N379" s="22">
        <f>3*3.05</f>
        <v>9.1499999999999986</v>
      </c>
      <c r="O379" s="51">
        <f>M379-N379</f>
        <v>156.20620000000002</v>
      </c>
      <c r="P379" s="22">
        <f>25.8+4</f>
        <v>29.8</v>
      </c>
      <c r="Q379" s="22">
        <f>P379*0.65</f>
        <v>19.37</v>
      </c>
    </row>
    <row r="380" spans="1:19" ht="13.5" x14ac:dyDescent="0.2">
      <c r="A380" s="184"/>
      <c r="B380" s="262" t="s">
        <v>490</v>
      </c>
      <c r="C380" s="186" t="s">
        <v>151</v>
      </c>
      <c r="D380" s="187">
        <v>256.06</v>
      </c>
      <c r="E380" s="224"/>
      <c r="F380" s="182"/>
      <c r="G380" s="183">
        <f t="shared" si="59"/>
        <v>0</v>
      </c>
      <c r="I380" s="22">
        <f>0.45*1.725*9</f>
        <v>6.986250000000001</v>
      </c>
      <c r="M380" s="22">
        <f>29.8*1.8</f>
        <v>53.64</v>
      </c>
      <c r="N380" s="51">
        <f>M380+Q380</f>
        <v>256.05620000000005</v>
      </c>
      <c r="P380" s="22">
        <f>0.8*11*3.05</f>
        <v>26.84</v>
      </c>
      <c r="Q380" s="51">
        <f>Q379+O379+P380</f>
        <v>202.41620000000003</v>
      </c>
    </row>
    <row r="381" spans="1:19" x14ac:dyDescent="0.2">
      <c r="A381" s="237" t="s">
        <v>178</v>
      </c>
      <c r="B381" s="241" t="s">
        <v>271</v>
      </c>
      <c r="C381" s="190"/>
      <c r="D381" s="191"/>
      <c r="E381" s="192"/>
      <c r="F381" s="193"/>
      <c r="G381" s="183">
        <f t="shared" si="59"/>
        <v>0</v>
      </c>
    </row>
    <row r="382" spans="1:19" ht="24" x14ac:dyDescent="0.2">
      <c r="A382" s="184"/>
      <c r="B382" s="185" t="s">
        <v>272</v>
      </c>
      <c r="C382" s="186" t="s">
        <v>151</v>
      </c>
      <c r="D382" s="187">
        <v>458.38</v>
      </c>
      <c r="E382" s="224"/>
      <c r="F382" s="182"/>
      <c r="G382" s="183">
        <f t="shared" si="59"/>
        <v>0</v>
      </c>
      <c r="I382" s="22">
        <f>8.3*4</f>
        <v>33.200000000000003</v>
      </c>
      <c r="J382" s="22">
        <f>I382*3.1*2</f>
        <v>205.84000000000003</v>
      </c>
      <c r="L382" s="22">
        <v>63.35</v>
      </c>
      <c r="M382" s="22">
        <f>L382*3.1</f>
        <v>196.38500000000002</v>
      </c>
      <c r="N382" s="51">
        <f>M382-K379</f>
        <v>143.02500000000003</v>
      </c>
    </row>
    <row r="383" spans="1:19" x14ac:dyDescent="0.2">
      <c r="A383" s="184"/>
      <c r="B383" s="185"/>
      <c r="C383" s="186"/>
      <c r="D383" s="187"/>
      <c r="E383" s="224"/>
      <c r="F383" s="182"/>
      <c r="G383" s="183"/>
      <c r="I383" s="22">
        <f>3.45+2.75+1.55*5+3</f>
        <v>16.95</v>
      </c>
      <c r="J383" s="22">
        <f>I383*3.1*2</f>
        <v>105.09</v>
      </c>
      <c r="K383" s="22">
        <f>0.78*2*4+0.95*2.83</f>
        <v>8.9284999999999997</v>
      </c>
      <c r="L383" s="22">
        <f>J383-K383</f>
        <v>96.161500000000004</v>
      </c>
      <c r="N383" s="51">
        <f>N382+L383+J382</f>
        <v>445.02650000000006</v>
      </c>
      <c r="O383" s="51">
        <f>N383*103%</f>
        <v>458.37729500000006</v>
      </c>
    </row>
    <row r="384" spans="1:19" x14ac:dyDescent="0.2">
      <c r="A384" s="170" t="s">
        <v>162</v>
      </c>
      <c r="B384" s="260" t="s">
        <v>295</v>
      </c>
      <c r="C384" s="172"/>
      <c r="D384" s="173"/>
      <c r="E384" s="174"/>
      <c r="F384" s="175"/>
      <c r="G384" s="176"/>
      <c r="K384" s="33"/>
    </row>
    <row r="385" spans="1:16" x14ac:dyDescent="0.2">
      <c r="A385" s="188" t="s">
        <v>177</v>
      </c>
      <c r="B385" s="261" t="s">
        <v>270</v>
      </c>
      <c r="C385" s="190"/>
      <c r="D385" s="191"/>
      <c r="E385" s="192"/>
      <c r="F385" s="273"/>
      <c r="G385" s="183">
        <f t="shared" ref="G385:G388" si="60">(D385*E385)+(D385*F385)</f>
        <v>0</v>
      </c>
      <c r="K385" s="33"/>
    </row>
    <row r="386" spans="1:16" ht="13.5" x14ac:dyDescent="0.2">
      <c r="A386" s="184"/>
      <c r="B386" s="262" t="s">
        <v>147</v>
      </c>
      <c r="C386" s="186" t="s">
        <v>151</v>
      </c>
      <c r="D386" s="187">
        <f>D353</f>
        <v>24.6</v>
      </c>
      <c r="E386" s="224"/>
      <c r="F386" s="182"/>
      <c r="G386" s="183">
        <f t="shared" si="60"/>
        <v>0</v>
      </c>
      <c r="K386" s="33"/>
      <c r="L386" s="33"/>
      <c r="O386" s="33"/>
    </row>
    <row r="387" spans="1:16" x14ac:dyDescent="0.2">
      <c r="A387" s="237" t="s">
        <v>178</v>
      </c>
      <c r="B387" s="241" t="s">
        <v>271</v>
      </c>
      <c r="C387" s="190"/>
      <c r="D387" s="191"/>
      <c r="E387" s="192"/>
      <c r="F387" s="193"/>
      <c r="G387" s="183">
        <f t="shared" si="60"/>
        <v>0</v>
      </c>
      <c r="K387" s="33"/>
    </row>
    <row r="388" spans="1:16" ht="13.5" x14ac:dyDescent="0.2">
      <c r="A388" s="184"/>
      <c r="B388" s="185" t="s">
        <v>355</v>
      </c>
      <c r="C388" s="186" t="s">
        <v>151</v>
      </c>
      <c r="D388" s="187">
        <f>D353</f>
        <v>24.6</v>
      </c>
      <c r="E388" s="224"/>
      <c r="F388" s="182"/>
      <c r="G388" s="183">
        <f t="shared" si="60"/>
        <v>0</v>
      </c>
      <c r="K388" s="22">
        <f>1.69*2.45*6</f>
        <v>24.843000000000004</v>
      </c>
      <c r="L388" s="33">
        <f>0.95*2.83*6</f>
        <v>16.131</v>
      </c>
      <c r="M388" s="33">
        <f>1.575*2*6</f>
        <v>18.899999999999999</v>
      </c>
      <c r="N388" s="33">
        <f>1.24*1.69</f>
        <v>2.0956000000000001</v>
      </c>
      <c r="O388" s="22">
        <f>0.7*0.55*2</f>
        <v>0.77</v>
      </c>
      <c r="P388" s="22">
        <f>SUM(K388:O388)</f>
        <v>62.739600000000003</v>
      </c>
    </row>
    <row r="389" spans="1:16" x14ac:dyDescent="0.2">
      <c r="A389" s="184"/>
      <c r="B389" s="185"/>
      <c r="C389" s="186"/>
      <c r="D389" s="187"/>
      <c r="E389" s="224"/>
      <c r="F389" s="182"/>
      <c r="G389" s="183"/>
      <c r="L389" s="33"/>
      <c r="M389" s="33"/>
      <c r="N389" s="33"/>
    </row>
    <row r="390" spans="1:16" x14ac:dyDescent="0.2">
      <c r="A390" s="237"/>
      <c r="B390" s="241"/>
      <c r="C390" s="186"/>
      <c r="D390" s="187"/>
      <c r="E390" s="224"/>
      <c r="F390" s="182"/>
      <c r="G390" s="183"/>
    </row>
    <row r="391" spans="1:16" x14ac:dyDescent="0.2">
      <c r="A391" s="237"/>
      <c r="B391" s="241"/>
      <c r="C391" s="186"/>
      <c r="D391" s="187"/>
      <c r="E391" s="224"/>
      <c r="F391" s="182"/>
      <c r="G391" s="183"/>
    </row>
    <row r="392" spans="1:16" x14ac:dyDescent="0.2">
      <c r="A392" s="237"/>
      <c r="B392" s="241"/>
      <c r="C392" s="186"/>
      <c r="D392" s="187"/>
      <c r="E392" s="224"/>
      <c r="F392" s="182"/>
      <c r="G392" s="183"/>
    </row>
    <row r="393" spans="1:16" x14ac:dyDescent="0.2">
      <c r="A393" s="237"/>
      <c r="B393" s="241"/>
      <c r="C393" s="186"/>
      <c r="D393" s="187"/>
      <c r="E393" s="224"/>
      <c r="F393" s="182"/>
      <c r="G393" s="183"/>
    </row>
    <row r="394" spans="1:16" x14ac:dyDescent="0.2">
      <c r="A394" s="237"/>
      <c r="B394" s="241"/>
      <c r="C394" s="186"/>
      <c r="D394" s="187"/>
      <c r="E394" s="224"/>
      <c r="F394" s="182"/>
      <c r="G394" s="183"/>
    </row>
    <row r="395" spans="1:16" x14ac:dyDescent="0.2">
      <c r="A395" s="237"/>
      <c r="B395" s="241"/>
      <c r="C395" s="186"/>
      <c r="D395" s="187"/>
      <c r="E395" s="224"/>
      <c r="F395" s="182"/>
      <c r="G395" s="183"/>
    </row>
    <row r="396" spans="1:16" x14ac:dyDescent="0.2">
      <c r="A396" s="237"/>
      <c r="B396" s="241"/>
      <c r="C396" s="186"/>
      <c r="D396" s="187"/>
      <c r="E396" s="224"/>
      <c r="F396" s="182"/>
      <c r="G396" s="183"/>
    </row>
    <row r="397" spans="1:16" x14ac:dyDescent="0.2">
      <c r="A397" s="237"/>
      <c r="B397" s="241"/>
      <c r="C397" s="186"/>
      <c r="D397" s="187"/>
      <c r="E397" s="224"/>
      <c r="F397" s="182"/>
      <c r="G397" s="183"/>
    </row>
    <row r="398" spans="1:16" x14ac:dyDescent="0.2">
      <c r="A398" s="237"/>
      <c r="B398" s="241"/>
      <c r="C398" s="186"/>
      <c r="D398" s="187"/>
      <c r="E398" s="224"/>
      <c r="F398" s="182"/>
      <c r="G398" s="183"/>
    </row>
    <row r="399" spans="1:16" x14ac:dyDescent="0.2">
      <c r="A399" s="237"/>
      <c r="B399" s="241"/>
      <c r="C399" s="186"/>
      <c r="D399" s="187"/>
      <c r="E399" s="224"/>
      <c r="F399" s="182"/>
      <c r="G399" s="183"/>
    </row>
    <row r="400" spans="1:16" x14ac:dyDescent="0.2">
      <c r="A400" s="237"/>
      <c r="B400" s="241"/>
      <c r="C400" s="186"/>
      <c r="D400" s="187"/>
      <c r="E400" s="224"/>
      <c r="F400" s="182"/>
      <c r="G400" s="183"/>
    </row>
    <row r="401" spans="1:13" x14ac:dyDescent="0.2">
      <c r="A401" s="237"/>
      <c r="B401" s="241"/>
      <c r="C401" s="186"/>
      <c r="D401" s="187"/>
      <c r="E401" s="224"/>
      <c r="F401" s="182"/>
      <c r="G401" s="183"/>
    </row>
    <row r="402" spans="1:13" x14ac:dyDescent="0.2">
      <c r="A402" s="237"/>
      <c r="B402" s="241"/>
      <c r="C402" s="186"/>
      <c r="D402" s="187"/>
      <c r="E402" s="224"/>
      <c r="F402" s="182"/>
      <c r="G402" s="183"/>
    </row>
    <row r="403" spans="1:13" ht="12.75" thickBot="1" x14ac:dyDescent="0.25">
      <c r="A403" s="237"/>
      <c r="B403" s="241"/>
      <c r="C403" s="186"/>
      <c r="D403" s="187"/>
      <c r="E403" s="224"/>
      <c r="F403" s="182"/>
      <c r="G403" s="183"/>
    </row>
    <row r="404" spans="1:13" x14ac:dyDescent="0.2">
      <c r="A404" s="153"/>
      <c r="B404" s="154" t="s">
        <v>158</v>
      </c>
      <c r="C404" s="166"/>
      <c r="D404" s="156"/>
      <c r="E404" s="157"/>
      <c r="F404" s="275"/>
      <c r="G404" s="210"/>
    </row>
    <row r="405" spans="1:13" ht="12.75" thickBot="1" x14ac:dyDescent="0.25">
      <c r="A405" s="159"/>
      <c r="B405" s="142" t="s">
        <v>217</v>
      </c>
      <c r="C405" s="167"/>
      <c r="D405" s="161"/>
      <c r="E405" s="162"/>
      <c r="F405" s="276"/>
      <c r="G405" s="146">
        <f>SUM(G333:G383)</f>
        <v>0</v>
      </c>
    </row>
    <row r="406" spans="1:13" x14ac:dyDescent="0.2">
      <c r="A406" s="65"/>
      <c r="B406" s="79"/>
      <c r="C406" s="74"/>
      <c r="D406" s="61"/>
      <c r="E406" s="69"/>
      <c r="F406" s="49"/>
      <c r="G406" s="93"/>
    </row>
    <row r="407" spans="1:13" x14ac:dyDescent="0.2">
      <c r="A407" s="105"/>
      <c r="B407" s="106" t="s">
        <v>107</v>
      </c>
      <c r="C407" s="107"/>
      <c r="D407" s="68"/>
      <c r="E407" s="108"/>
      <c r="F407" s="49"/>
      <c r="G407" s="75"/>
    </row>
    <row r="408" spans="1:13" x14ac:dyDescent="0.2">
      <c r="A408" s="105"/>
      <c r="B408" s="109" t="s">
        <v>108</v>
      </c>
      <c r="C408" s="107"/>
      <c r="D408" s="68"/>
      <c r="E408" s="108"/>
      <c r="F408" s="49"/>
      <c r="G408" s="75"/>
    </row>
    <row r="409" spans="1:13" x14ac:dyDescent="0.2">
      <c r="A409" s="101" t="s">
        <v>109</v>
      </c>
      <c r="B409" s="72" t="s">
        <v>41</v>
      </c>
      <c r="C409" s="67"/>
      <c r="D409" s="68"/>
      <c r="E409" s="69"/>
      <c r="F409" s="49"/>
      <c r="G409" s="75"/>
    </row>
    <row r="410" spans="1:13" ht="52.5" customHeight="1" x14ac:dyDescent="0.2">
      <c r="A410" s="101"/>
      <c r="B410" s="76" t="s">
        <v>148</v>
      </c>
      <c r="C410" s="76"/>
      <c r="D410" s="76"/>
      <c r="E410" s="76"/>
      <c r="F410" s="76"/>
      <c r="G410" s="97"/>
    </row>
    <row r="411" spans="1:13" x14ac:dyDescent="0.2">
      <c r="A411" s="277" t="s">
        <v>153</v>
      </c>
      <c r="B411" s="278" t="s">
        <v>222</v>
      </c>
      <c r="C411" s="279"/>
      <c r="D411" s="280"/>
      <c r="E411" s="281"/>
      <c r="F411" s="282"/>
      <c r="G411" s="283"/>
    </row>
    <row r="412" spans="1:13" ht="12.75" x14ac:dyDescent="0.2">
      <c r="A412" s="284"/>
      <c r="B412" s="285" t="s">
        <v>236</v>
      </c>
      <c r="C412" s="286"/>
      <c r="D412" s="287"/>
      <c r="E412" s="288"/>
      <c r="F412" s="235"/>
      <c r="G412" s="236"/>
    </row>
    <row r="413" spans="1:13" ht="12.75" x14ac:dyDescent="0.2">
      <c r="A413" s="289" t="s">
        <v>160</v>
      </c>
      <c r="B413" s="290" t="s">
        <v>67</v>
      </c>
      <c r="C413" s="291"/>
      <c r="D413" s="292"/>
      <c r="E413" s="220"/>
      <c r="F413" s="221"/>
      <c r="G413" s="222">
        <f t="shared" ref="G413:G417" si="61">(D413*E413)+(D413*F413)</f>
        <v>0</v>
      </c>
    </row>
    <row r="414" spans="1:13" ht="15.75" x14ac:dyDescent="0.2">
      <c r="A414" s="284"/>
      <c r="B414" s="293" t="s">
        <v>356</v>
      </c>
      <c r="C414" s="286" t="s">
        <v>237</v>
      </c>
      <c r="D414" s="287">
        <v>154.4</v>
      </c>
      <c r="E414" s="234"/>
      <c r="F414" s="235"/>
      <c r="G414" s="236">
        <f t="shared" si="61"/>
        <v>0</v>
      </c>
      <c r="I414" s="22">
        <f>51.46*3</f>
        <v>154.38</v>
      </c>
    </row>
    <row r="415" spans="1:13" ht="15.75" x14ac:dyDescent="0.2">
      <c r="A415" s="284"/>
      <c r="B415" s="293" t="s">
        <v>491</v>
      </c>
      <c r="C415" s="286" t="s">
        <v>237</v>
      </c>
      <c r="D415" s="287">
        <v>67.515000000000001</v>
      </c>
      <c r="E415" s="234"/>
      <c r="F415" s="235"/>
      <c r="G415" s="236">
        <f t="shared" si="61"/>
        <v>0</v>
      </c>
      <c r="I415" s="22">
        <f>25.8*2.025</f>
        <v>52.244999999999997</v>
      </c>
      <c r="J415" s="22">
        <f>8.5*1.35</f>
        <v>11.475000000000001</v>
      </c>
      <c r="K415" s="22">
        <f>1.65*0.8</f>
        <v>1.32</v>
      </c>
      <c r="L415" s="22">
        <f>1.65*1.5</f>
        <v>2.4749999999999996</v>
      </c>
      <c r="M415" s="22">
        <f>SUM(I415:L415)</f>
        <v>67.514999999999986</v>
      </c>
    </row>
    <row r="416" spans="1:13" ht="15.75" x14ac:dyDescent="0.2">
      <c r="A416" s="284"/>
      <c r="B416" s="293" t="s">
        <v>358</v>
      </c>
      <c r="C416" s="286" t="s">
        <v>237</v>
      </c>
      <c r="D416" s="287">
        <v>23.9</v>
      </c>
      <c r="E416" s="234"/>
      <c r="F416" s="235"/>
      <c r="G416" s="236">
        <f t="shared" si="61"/>
        <v>0</v>
      </c>
      <c r="I416" s="51">
        <f>7.825*3.05</f>
        <v>23.866250000000001</v>
      </c>
    </row>
    <row r="417" spans="1:14" ht="15.75" x14ac:dyDescent="0.2">
      <c r="A417" s="284"/>
      <c r="B417" s="293" t="s">
        <v>359</v>
      </c>
      <c r="C417" s="286" t="s">
        <v>237</v>
      </c>
      <c r="D417" s="287">
        <v>20.8</v>
      </c>
      <c r="E417" s="234"/>
      <c r="F417" s="235"/>
      <c r="G417" s="236">
        <f t="shared" si="61"/>
        <v>0</v>
      </c>
      <c r="I417" s="33">
        <f>4.12*3</f>
        <v>12.36</v>
      </c>
      <c r="J417" s="22">
        <f>2.15*1.5</f>
        <v>3.2249999999999996</v>
      </c>
      <c r="K417" s="33">
        <f>1.5*0.15*23</f>
        <v>5.1749999999999998</v>
      </c>
      <c r="L417" s="33">
        <f>SUM(I417:K417)</f>
        <v>20.759999999999998</v>
      </c>
    </row>
    <row r="418" spans="1:14" ht="15.75" x14ac:dyDescent="0.2">
      <c r="A418" s="284"/>
      <c r="B418" s="293" t="s">
        <v>360</v>
      </c>
      <c r="C418" s="286" t="s">
        <v>237</v>
      </c>
      <c r="D418" s="287">
        <v>17.420000000000002</v>
      </c>
      <c r="E418" s="234"/>
      <c r="F418" s="235"/>
      <c r="G418" s="236">
        <f t="shared" ref="G418" si="62">(D418*E418)+(D418*F418)</f>
        <v>0</v>
      </c>
      <c r="I418" s="33">
        <f>25.8*0.675</f>
        <v>17.415000000000003</v>
      </c>
      <c r="K418" s="33"/>
    </row>
    <row r="419" spans="1:14" ht="15.75" x14ac:dyDescent="0.2">
      <c r="A419" s="284"/>
      <c r="B419" s="293" t="s">
        <v>493</v>
      </c>
      <c r="C419" s="286" t="s">
        <v>237</v>
      </c>
      <c r="D419" s="287">
        <v>4.5</v>
      </c>
      <c r="E419" s="234"/>
      <c r="F419" s="235"/>
      <c r="G419" s="236">
        <f>(D419*E419)+(D419*F419)</f>
        <v>0</v>
      </c>
      <c r="I419" s="33">
        <f>1.5*3</f>
        <v>4.5</v>
      </c>
    </row>
    <row r="420" spans="1:14" ht="15.75" x14ac:dyDescent="0.2">
      <c r="A420" s="284"/>
      <c r="B420" s="293" t="s">
        <v>492</v>
      </c>
      <c r="C420" s="286" t="s">
        <v>237</v>
      </c>
      <c r="D420" s="287">
        <v>3.68</v>
      </c>
      <c r="E420" s="234"/>
      <c r="F420" s="235"/>
      <c r="G420" s="236">
        <f t="shared" ref="G420" si="63">(D420*E420)+(D420*F420)</f>
        <v>0</v>
      </c>
      <c r="I420" s="51">
        <f>2.45*1.5</f>
        <v>3.6750000000000003</v>
      </c>
    </row>
    <row r="421" spans="1:14" ht="12.75" x14ac:dyDescent="0.2">
      <c r="A421" s="284"/>
      <c r="B421" s="293"/>
      <c r="C421" s="286"/>
      <c r="D421" s="287"/>
      <c r="E421" s="234"/>
      <c r="F421" s="235"/>
      <c r="G421" s="236"/>
      <c r="I421" s="33"/>
    </row>
    <row r="422" spans="1:14" ht="12.75" x14ac:dyDescent="0.2">
      <c r="A422" s="289" t="s">
        <v>161</v>
      </c>
      <c r="B422" s="290" t="s">
        <v>69</v>
      </c>
      <c r="C422" s="291"/>
      <c r="D422" s="292"/>
      <c r="E422" s="220"/>
      <c r="F422" s="221"/>
      <c r="G422" s="222">
        <f t="shared" ref="G422:G427" si="64">(D422*E422)+(D422*F422)</f>
        <v>0</v>
      </c>
    </row>
    <row r="423" spans="1:14" ht="15.75" x14ac:dyDescent="0.2">
      <c r="A423" s="284"/>
      <c r="B423" s="293" t="s">
        <v>356</v>
      </c>
      <c r="C423" s="286" t="s">
        <v>237</v>
      </c>
      <c r="D423" s="287">
        <f>D414</f>
        <v>154.4</v>
      </c>
      <c r="E423" s="234"/>
      <c r="F423" s="235"/>
      <c r="G423" s="236">
        <f t="shared" si="64"/>
        <v>0</v>
      </c>
      <c r="I423" s="22">
        <f>51.46*2</f>
        <v>102.92</v>
      </c>
      <c r="L423" s="22">
        <f>SUM(I423:K423)</f>
        <v>102.92</v>
      </c>
    </row>
    <row r="424" spans="1:14" ht="15.75" x14ac:dyDescent="0.2">
      <c r="A424" s="284"/>
      <c r="B424" s="293" t="s">
        <v>491</v>
      </c>
      <c r="C424" s="286" t="s">
        <v>237</v>
      </c>
      <c r="D424" s="287">
        <v>63</v>
      </c>
      <c r="E424" s="234"/>
      <c r="F424" s="235"/>
      <c r="G424" s="236">
        <f t="shared" si="64"/>
        <v>0</v>
      </c>
      <c r="I424" s="22">
        <f>25.8*1.85</f>
        <v>47.730000000000004</v>
      </c>
      <c r="J424" s="22">
        <f>8.5*1.35</f>
        <v>11.475000000000001</v>
      </c>
      <c r="K424" s="22">
        <f>1.65*0.8</f>
        <v>1.32</v>
      </c>
      <c r="L424" s="22">
        <f>1.65*1.5</f>
        <v>2.4749999999999996</v>
      </c>
      <c r="M424" s="22">
        <f>SUM(I424:L424)</f>
        <v>63.000000000000007</v>
      </c>
    </row>
    <row r="425" spans="1:14" ht="15.75" x14ac:dyDescent="0.2">
      <c r="A425" s="284"/>
      <c r="B425" s="293" t="s">
        <v>358</v>
      </c>
      <c r="C425" s="286" t="s">
        <v>237</v>
      </c>
      <c r="D425" s="287">
        <v>12.1</v>
      </c>
      <c r="E425" s="234"/>
      <c r="F425" s="235"/>
      <c r="G425" s="236">
        <f t="shared" si="64"/>
        <v>0</v>
      </c>
      <c r="I425" s="51">
        <f>4.02*3</f>
        <v>12.059999999999999</v>
      </c>
      <c r="N425" s="34"/>
    </row>
    <row r="426" spans="1:14" ht="15.75" x14ac:dyDescent="0.2">
      <c r="A426" s="284"/>
      <c r="B426" s="293" t="s">
        <v>493</v>
      </c>
      <c r="C426" s="286" t="s">
        <v>237</v>
      </c>
      <c r="D426" s="287">
        <v>4.5</v>
      </c>
      <c r="E426" s="234"/>
      <c r="F426" s="235"/>
      <c r="G426" s="236">
        <f>(D426*E426)+(D426*F426)</f>
        <v>0</v>
      </c>
      <c r="I426" s="33">
        <f>1.5*3</f>
        <v>4.5</v>
      </c>
      <c r="K426" s="33"/>
    </row>
    <row r="427" spans="1:14" ht="15.75" x14ac:dyDescent="0.2">
      <c r="A427" s="284"/>
      <c r="B427" s="293" t="s">
        <v>492</v>
      </c>
      <c r="C427" s="286" t="s">
        <v>237</v>
      </c>
      <c r="D427" s="287">
        <v>3.68</v>
      </c>
      <c r="E427" s="234"/>
      <c r="F427" s="235"/>
      <c r="G427" s="236">
        <f t="shared" si="64"/>
        <v>0</v>
      </c>
      <c r="I427" s="51">
        <f>2.45*1.5</f>
        <v>3.6750000000000003</v>
      </c>
    </row>
    <row r="428" spans="1:14" ht="12.75" x14ac:dyDescent="0.2">
      <c r="A428" s="294"/>
      <c r="B428" s="295"/>
      <c r="C428" s="296"/>
      <c r="D428" s="297"/>
      <c r="E428" s="298"/>
      <c r="F428" s="299"/>
      <c r="G428" s="300"/>
    </row>
    <row r="429" spans="1:14" x14ac:dyDescent="0.2">
      <c r="A429" s="110" t="s">
        <v>154</v>
      </c>
      <c r="B429" s="111" t="s">
        <v>155</v>
      </c>
      <c r="C429" s="115"/>
      <c r="D429" s="116"/>
      <c r="E429" s="112"/>
      <c r="F429" s="113"/>
      <c r="G429" s="114"/>
    </row>
    <row r="430" spans="1:14" ht="41.25" customHeight="1" x14ac:dyDescent="0.2">
      <c r="A430" s="301"/>
      <c r="B430" s="302" t="s">
        <v>255</v>
      </c>
      <c r="C430" s="302"/>
      <c r="D430" s="302"/>
      <c r="E430" s="302"/>
      <c r="F430" s="302"/>
      <c r="G430" s="303"/>
    </row>
    <row r="431" spans="1:14" ht="24.75" customHeight="1" x14ac:dyDescent="0.2">
      <c r="A431" s="117"/>
      <c r="B431" s="76" t="s">
        <v>257</v>
      </c>
      <c r="C431" s="76"/>
      <c r="D431" s="76"/>
      <c r="E431" s="76"/>
      <c r="F431" s="76"/>
      <c r="G431" s="97"/>
    </row>
    <row r="432" spans="1:14" ht="41.25" customHeight="1" x14ac:dyDescent="0.2">
      <c r="A432" s="117"/>
      <c r="B432" s="76" t="s">
        <v>256</v>
      </c>
      <c r="C432" s="76"/>
      <c r="D432" s="76"/>
      <c r="E432" s="76"/>
      <c r="F432" s="76"/>
      <c r="G432" s="97"/>
    </row>
    <row r="433" spans="1:18" ht="52.5" customHeight="1" x14ac:dyDescent="0.2">
      <c r="A433" s="304"/>
      <c r="B433" s="305" t="s">
        <v>362</v>
      </c>
      <c r="C433" s="305"/>
      <c r="D433" s="305"/>
      <c r="E433" s="305"/>
      <c r="F433" s="305"/>
      <c r="G433" s="306"/>
    </row>
    <row r="434" spans="1:18" ht="12.75" x14ac:dyDescent="0.2">
      <c r="A434" s="307" t="s">
        <v>160</v>
      </c>
      <c r="B434" s="308" t="s">
        <v>67</v>
      </c>
      <c r="C434" s="309"/>
      <c r="D434" s="310"/>
      <c r="E434" s="311"/>
      <c r="F434" s="216"/>
      <c r="G434" s="217"/>
    </row>
    <row r="435" spans="1:18" ht="12.75" x14ac:dyDescent="0.2">
      <c r="A435" s="284" t="s">
        <v>258</v>
      </c>
      <c r="B435" s="312" t="s">
        <v>252</v>
      </c>
      <c r="C435" s="286"/>
      <c r="D435" s="287"/>
      <c r="E435" s="234"/>
      <c r="F435" s="235"/>
      <c r="G435" s="236"/>
      <c r="I435" s="50"/>
      <c r="J435" s="29"/>
      <c r="K435" s="27"/>
    </row>
    <row r="436" spans="1:18" ht="12.75" x14ac:dyDescent="0.2">
      <c r="A436" s="284" t="s">
        <v>177</v>
      </c>
      <c r="B436" s="312" t="s">
        <v>275</v>
      </c>
      <c r="C436" s="286"/>
      <c r="D436" s="287"/>
      <c r="E436" s="234"/>
      <c r="F436" s="235"/>
      <c r="G436" s="236"/>
      <c r="I436" s="59"/>
      <c r="J436" s="29"/>
      <c r="K436" s="27"/>
    </row>
    <row r="437" spans="1:18" ht="15.75" x14ac:dyDescent="0.2">
      <c r="A437" s="284"/>
      <c r="B437" s="293" t="s">
        <v>356</v>
      </c>
      <c r="C437" s="286" t="s">
        <v>237</v>
      </c>
      <c r="D437" s="287">
        <f>D414</f>
        <v>154.4</v>
      </c>
      <c r="E437" s="234"/>
      <c r="F437" s="235"/>
      <c r="G437" s="236">
        <f t="shared" ref="G437" si="65">(D437*E437)+(D437*F437)</f>
        <v>0</v>
      </c>
      <c r="I437" s="50"/>
      <c r="J437" s="29"/>
      <c r="K437" s="27"/>
    </row>
    <row r="438" spans="1:18" ht="15.75" x14ac:dyDescent="0.2">
      <c r="A438" s="284"/>
      <c r="B438" s="293" t="s">
        <v>358</v>
      </c>
      <c r="C438" s="286" t="s">
        <v>237</v>
      </c>
      <c r="D438" s="287">
        <f>D416</f>
        <v>23.9</v>
      </c>
      <c r="E438" s="234"/>
      <c r="F438" s="235"/>
      <c r="G438" s="236">
        <f t="shared" ref="G438:G439" si="66">(D438*E438)+(D438*F438)</f>
        <v>0</v>
      </c>
      <c r="I438" s="59"/>
      <c r="J438" s="29"/>
      <c r="K438" s="27"/>
    </row>
    <row r="439" spans="1:18" ht="15.75" x14ac:dyDescent="0.2">
      <c r="A439" s="284"/>
      <c r="B439" s="293" t="s">
        <v>492</v>
      </c>
      <c r="C439" s="286" t="s">
        <v>237</v>
      </c>
      <c r="D439" s="287">
        <v>3.68</v>
      </c>
      <c r="E439" s="234"/>
      <c r="F439" s="235"/>
      <c r="G439" s="236">
        <f t="shared" si="66"/>
        <v>0</v>
      </c>
      <c r="I439" s="59"/>
      <c r="J439" s="29"/>
      <c r="K439" s="27"/>
    </row>
    <row r="440" spans="1:18" ht="12.75" x14ac:dyDescent="0.2">
      <c r="A440" s="284" t="s">
        <v>178</v>
      </c>
      <c r="B440" s="312" t="s">
        <v>307</v>
      </c>
      <c r="C440" s="286"/>
      <c r="D440" s="287"/>
      <c r="E440" s="234"/>
      <c r="F440" s="235"/>
      <c r="G440" s="236"/>
      <c r="I440" s="59"/>
      <c r="J440" s="29"/>
      <c r="K440" s="27"/>
    </row>
    <row r="441" spans="1:18" ht="15.75" x14ac:dyDescent="0.2">
      <c r="A441" s="284"/>
      <c r="B441" s="293" t="s">
        <v>357</v>
      </c>
      <c r="C441" s="286" t="s">
        <v>237</v>
      </c>
      <c r="D441" s="287">
        <f>D415</f>
        <v>67.515000000000001</v>
      </c>
      <c r="E441" s="234"/>
      <c r="F441" s="235"/>
      <c r="G441" s="236">
        <f t="shared" ref="G441" si="67">(D441*E441)+(D441*F441)</f>
        <v>0</v>
      </c>
      <c r="I441" s="50"/>
      <c r="J441" s="29"/>
      <c r="K441" s="27"/>
      <c r="M441" s="51"/>
      <c r="O441" s="51"/>
      <c r="Q441" s="51"/>
      <c r="R441" s="51"/>
    </row>
    <row r="442" spans="1:18" ht="12.75" x14ac:dyDescent="0.2">
      <c r="A442" s="284" t="s">
        <v>191</v>
      </c>
      <c r="B442" s="312" t="s">
        <v>276</v>
      </c>
      <c r="C442" s="286"/>
      <c r="D442" s="287"/>
      <c r="E442" s="234"/>
      <c r="F442" s="235"/>
      <c r="G442" s="236"/>
    </row>
    <row r="443" spans="1:18" ht="15.75" x14ac:dyDescent="0.2">
      <c r="A443" s="284"/>
      <c r="B443" s="293" t="s">
        <v>288</v>
      </c>
      <c r="C443" s="286" t="s">
        <v>237</v>
      </c>
      <c r="D443" s="287">
        <f>D417</f>
        <v>20.8</v>
      </c>
      <c r="E443" s="234"/>
      <c r="F443" s="235"/>
      <c r="G443" s="236">
        <f t="shared" ref="G443" si="68">(D443*E443)+(D443*F443)</f>
        <v>0</v>
      </c>
    </row>
    <row r="444" spans="1:18" ht="16.5" thickBot="1" x14ac:dyDescent="0.25">
      <c r="A444" s="560"/>
      <c r="B444" s="561" t="s">
        <v>360</v>
      </c>
      <c r="C444" s="562" t="s">
        <v>237</v>
      </c>
      <c r="D444" s="563">
        <f>D418</f>
        <v>17.420000000000002</v>
      </c>
      <c r="E444" s="250"/>
      <c r="F444" s="251"/>
      <c r="G444" s="564">
        <f t="shared" ref="G444" si="69">(D444*E444)+(D444*F444)</f>
        <v>0</v>
      </c>
    </row>
    <row r="445" spans="1:18" ht="12.75" x14ac:dyDescent="0.2">
      <c r="A445" s="284" t="s">
        <v>192</v>
      </c>
      <c r="B445" s="312" t="s">
        <v>277</v>
      </c>
      <c r="C445" s="286"/>
      <c r="D445" s="287"/>
      <c r="E445" s="234"/>
      <c r="F445" s="235"/>
      <c r="G445" s="236"/>
    </row>
    <row r="446" spans="1:18" ht="15.75" x14ac:dyDescent="0.2">
      <c r="A446" s="284"/>
      <c r="B446" s="293" t="s">
        <v>224</v>
      </c>
      <c r="C446" s="286" t="s">
        <v>237</v>
      </c>
      <c r="D446" s="287">
        <f>D419</f>
        <v>4.5</v>
      </c>
      <c r="E446" s="234"/>
      <c r="F446" s="235"/>
      <c r="G446" s="236">
        <f t="shared" ref="G446" si="70">(D446*E446)+(D446*F446)</f>
        <v>0</v>
      </c>
    </row>
    <row r="447" spans="1:18" ht="12.75" x14ac:dyDescent="0.2">
      <c r="A447" s="284"/>
      <c r="B447" s="293"/>
      <c r="C447" s="286"/>
      <c r="D447" s="287"/>
      <c r="E447" s="234"/>
      <c r="F447" s="235"/>
      <c r="G447" s="236"/>
    </row>
    <row r="448" spans="1:18" ht="12.75" x14ac:dyDescent="0.2">
      <c r="A448" s="284" t="s">
        <v>259</v>
      </c>
      <c r="B448" s="312" t="s">
        <v>253</v>
      </c>
      <c r="C448" s="286"/>
      <c r="D448" s="287"/>
      <c r="E448" s="234"/>
      <c r="F448" s="235"/>
      <c r="G448" s="236"/>
      <c r="I448" s="59"/>
      <c r="J448" s="29"/>
      <c r="K448" s="27"/>
      <c r="L448" s="40"/>
      <c r="M448" s="31"/>
    </row>
    <row r="449" spans="1:16" ht="38.25" x14ac:dyDescent="0.2">
      <c r="A449" s="284"/>
      <c r="B449" s="312" t="s">
        <v>278</v>
      </c>
      <c r="C449" s="286"/>
      <c r="D449" s="287"/>
      <c r="E449" s="234"/>
      <c r="F449" s="235"/>
      <c r="G449" s="236"/>
      <c r="I449" s="60"/>
      <c r="J449" s="47"/>
      <c r="K449" s="61"/>
      <c r="L449" s="48"/>
      <c r="M449" s="49"/>
    </row>
    <row r="450" spans="1:16" ht="15.75" x14ac:dyDescent="0.2">
      <c r="A450" s="284"/>
      <c r="B450" s="293" t="s">
        <v>496</v>
      </c>
      <c r="C450" s="286" t="s">
        <v>237</v>
      </c>
      <c r="D450" s="287">
        <v>41.4</v>
      </c>
      <c r="E450" s="234"/>
      <c r="F450" s="235"/>
      <c r="G450" s="236">
        <f t="shared" ref="G450:G452" si="71">(D450*E450)+(D450*F450)</f>
        <v>0</v>
      </c>
      <c r="I450" s="33">
        <f>1.5*6+1*6</f>
        <v>15</v>
      </c>
      <c r="J450" s="51">
        <f>I450*3</f>
        <v>45</v>
      </c>
      <c r="K450" s="51">
        <f>0.6*2*3</f>
        <v>3.5999999999999996</v>
      </c>
      <c r="L450" s="51">
        <f>J450-K450</f>
        <v>41.4</v>
      </c>
    </row>
    <row r="451" spans="1:16" ht="15.75" x14ac:dyDescent="0.2">
      <c r="A451" s="284"/>
      <c r="B451" s="293" t="s">
        <v>494</v>
      </c>
      <c r="C451" s="286" t="s">
        <v>237</v>
      </c>
      <c r="D451" s="287">
        <v>8.64</v>
      </c>
      <c r="E451" s="234"/>
      <c r="F451" s="235"/>
      <c r="G451" s="236">
        <f t="shared" si="71"/>
        <v>0</v>
      </c>
      <c r="I451" s="33">
        <f>1.5+1.65*2</f>
        <v>4.8</v>
      </c>
      <c r="J451" s="51">
        <f>I451*1.8</f>
        <v>8.64</v>
      </c>
      <c r="K451" s="51"/>
      <c r="L451" s="51"/>
      <c r="M451" s="51"/>
    </row>
    <row r="452" spans="1:16" ht="15.75" x14ac:dyDescent="0.2">
      <c r="A452" s="284"/>
      <c r="B452" s="293" t="s">
        <v>495</v>
      </c>
      <c r="C452" s="286" t="s">
        <v>237</v>
      </c>
      <c r="D452" s="287">
        <v>2.1</v>
      </c>
      <c r="E452" s="234"/>
      <c r="F452" s="235"/>
      <c r="G452" s="236">
        <f t="shared" si="71"/>
        <v>0</v>
      </c>
      <c r="I452" s="51">
        <f>1.5*1.4</f>
        <v>2.0999999999999996</v>
      </c>
      <c r="J452" s="51"/>
      <c r="K452" s="51"/>
      <c r="L452" s="51"/>
      <c r="M452" s="51"/>
      <c r="N452" s="31"/>
      <c r="O452" s="31"/>
      <c r="P452" s="32"/>
    </row>
    <row r="453" spans="1:16" ht="12.75" x14ac:dyDescent="0.2">
      <c r="A453" s="284" t="s">
        <v>260</v>
      </c>
      <c r="B453" s="312" t="s">
        <v>254</v>
      </c>
      <c r="C453" s="286"/>
      <c r="D453" s="287"/>
      <c r="E453" s="234"/>
      <c r="F453" s="235"/>
      <c r="G453" s="236"/>
      <c r="I453" s="55"/>
      <c r="J453" s="29"/>
      <c r="K453" s="27"/>
      <c r="L453" s="27"/>
    </row>
    <row r="454" spans="1:16" ht="12.75" x14ac:dyDescent="0.2">
      <c r="A454" s="284" t="s">
        <v>177</v>
      </c>
      <c r="B454" s="293" t="s">
        <v>280</v>
      </c>
      <c r="C454" s="286" t="s">
        <v>128</v>
      </c>
      <c r="D454" s="287">
        <v>127</v>
      </c>
      <c r="E454" s="234"/>
      <c r="F454" s="235"/>
      <c r="G454" s="236">
        <f t="shared" ref="G454" si="72">(D454*E454)+(D454*F454)</f>
        <v>0</v>
      </c>
      <c r="I454" s="22">
        <f>8.3*8+6.2*6+3+4.28+19.4</f>
        <v>130.28</v>
      </c>
      <c r="J454" s="22">
        <f>0.55*6</f>
        <v>3.3000000000000003</v>
      </c>
      <c r="K454" s="22">
        <f>I454-J454</f>
        <v>126.98</v>
      </c>
      <c r="M454" s="22">
        <f>I454-L454</f>
        <v>130.28</v>
      </c>
    </row>
    <row r="455" spans="1:16" ht="12.75" x14ac:dyDescent="0.2">
      <c r="A455" s="289" t="s">
        <v>161</v>
      </c>
      <c r="B455" s="290" t="s">
        <v>69</v>
      </c>
      <c r="C455" s="291"/>
      <c r="D455" s="292"/>
      <c r="E455" s="313"/>
      <c r="F455" s="221"/>
      <c r="G455" s="222"/>
    </row>
    <row r="456" spans="1:16" ht="12.75" x14ac:dyDescent="0.2">
      <c r="A456" s="284" t="s">
        <v>258</v>
      </c>
      <c r="B456" s="312" t="s">
        <v>252</v>
      </c>
      <c r="C456" s="286"/>
      <c r="D456" s="287"/>
      <c r="E456" s="234"/>
      <c r="F456" s="235"/>
      <c r="G456" s="236"/>
    </row>
    <row r="457" spans="1:16" ht="12.75" x14ac:dyDescent="0.2">
      <c r="A457" s="284" t="s">
        <v>177</v>
      </c>
      <c r="B457" s="312" t="s">
        <v>275</v>
      </c>
      <c r="C457" s="286"/>
      <c r="D457" s="287"/>
      <c r="E457" s="234"/>
      <c r="F457" s="235"/>
      <c r="G457" s="236"/>
      <c r="I457" s="22">
        <f>12.5+2.95+3.05+3.05+2.95</f>
        <v>24.5</v>
      </c>
    </row>
    <row r="458" spans="1:16" ht="15.75" x14ac:dyDescent="0.2">
      <c r="A458" s="284"/>
      <c r="B458" s="293" t="s">
        <v>356</v>
      </c>
      <c r="C458" s="286" t="s">
        <v>237</v>
      </c>
      <c r="D458" s="287">
        <f>D423</f>
        <v>154.4</v>
      </c>
      <c r="E458" s="234"/>
      <c r="F458" s="235"/>
      <c r="G458" s="236">
        <f t="shared" ref="G458:G460" si="73">(D458*E458)+(D458*F458)</f>
        <v>0</v>
      </c>
      <c r="I458" s="22">
        <v>28.7</v>
      </c>
    </row>
    <row r="459" spans="1:16" ht="12" customHeight="1" x14ac:dyDescent="0.2">
      <c r="A459" s="284"/>
      <c r="B459" s="293" t="s">
        <v>358</v>
      </c>
      <c r="C459" s="286" t="s">
        <v>237</v>
      </c>
      <c r="D459" s="287">
        <v>12.15</v>
      </c>
      <c r="E459" s="234"/>
      <c r="F459" s="235"/>
      <c r="G459" s="236">
        <f t="shared" si="73"/>
        <v>0</v>
      </c>
      <c r="I459" s="22">
        <v>19.7</v>
      </c>
    </row>
    <row r="460" spans="1:16" ht="12" customHeight="1" x14ac:dyDescent="0.2">
      <c r="A460" s="284"/>
      <c r="B460" s="293" t="s">
        <v>492</v>
      </c>
      <c r="C460" s="286" t="s">
        <v>237</v>
      </c>
      <c r="D460" s="287">
        <v>3.68</v>
      </c>
      <c r="E460" s="234"/>
      <c r="F460" s="235"/>
      <c r="G460" s="236">
        <f t="shared" si="73"/>
        <v>0</v>
      </c>
    </row>
    <row r="461" spans="1:16" ht="12.75" x14ac:dyDescent="0.2">
      <c r="A461" s="284" t="s">
        <v>178</v>
      </c>
      <c r="B461" s="312" t="s">
        <v>279</v>
      </c>
      <c r="C461" s="286"/>
      <c r="D461" s="287"/>
      <c r="E461" s="234"/>
      <c r="F461" s="235"/>
      <c r="G461" s="236"/>
    </row>
    <row r="462" spans="1:16" ht="15.75" x14ac:dyDescent="0.2">
      <c r="A462" s="284"/>
      <c r="B462" s="293" t="s">
        <v>491</v>
      </c>
      <c r="C462" s="286" t="s">
        <v>237</v>
      </c>
      <c r="D462" s="287">
        <f>D424</f>
        <v>63</v>
      </c>
      <c r="E462" s="234"/>
      <c r="F462" s="235"/>
      <c r="G462" s="236">
        <f t="shared" ref="G462" si="74">(D462*E462)+(D462*F462)</f>
        <v>0</v>
      </c>
      <c r="I462" s="22">
        <f>19.1*1.85</f>
        <v>35.335000000000001</v>
      </c>
      <c r="J462" s="22">
        <f>4.28*3.2</f>
        <v>13.696000000000002</v>
      </c>
      <c r="K462" s="22">
        <f>SUM(I462:J462)</f>
        <v>49.031000000000006</v>
      </c>
    </row>
    <row r="463" spans="1:16" ht="12.75" x14ac:dyDescent="0.2">
      <c r="A463" s="284" t="s">
        <v>191</v>
      </c>
      <c r="B463" s="312" t="s">
        <v>277</v>
      </c>
      <c r="C463" s="286"/>
      <c r="D463" s="287"/>
      <c r="E463" s="234"/>
      <c r="F463" s="235"/>
      <c r="G463" s="236"/>
    </row>
    <row r="464" spans="1:16" ht="15.75" x14ac:dyDescent="0.2">
      <c r="A464" s="284"/>
      <c r="B464" s="293" t="s">
        <v>497</v>
      </c>
      <c r="C464" s="286" t="s">
        <v>237</v>
      </c>
      <c r="D464" s="287">
        <f>D426</f>
        <v>4.5</v>
      </c>
      <c r="E464" s="234"/>
      <c r="F464" s="235"/>
      <c r="G464" s="236">
        <f t="shared" ref="G464" si="75">(D464*E464)+(D464*F464)</f>
        <v>0</v>
      </c>
    </row>
    <row r="465" spans="1:14" ht="12.75" x14ac:dyDescent="0.2">
      <c r="A465" s="284" t="s">
        <v>259</v>
      </c>
      <c r="B465" s="312" t="s">
        <v>253</v>
      </c>
      <c r="C465" s="286"/>
      <c r="D465" s="287"/>
      <c r="E465" s="234"/>
      <c r="F465" s="235"/>
      <c r="G465" s="236"/>
    </row>
    <row r="466" spans="1:14" ht="46.5" customHeight="1" x14ac:dyDescent="0.2">
      <c r="A466" s="284"/>
      <c r="B466" s="312" t="s">
        <v>289</v>
      </c>
      <c r="C466" s="286"/>
      <c r="D466" s="287"/>
      <c r="E466" s="234"/>
      <c r="F466" s="235"/>
      <c r="G466" s="236"/>
    </row>
    <row r="467" spans="1:14" ht="15.75" x14ac:dyDescent="0.2">
      <c r="A467" s="284"/>
      <c r="B467" s="293" t="s">
        <v>361</v>
      </c>
      <c r="C467" s="286" t="s">
        <v>237</v>
      </c>
      <c r="D467" s="287">
        <v>41.4</v>
      </c>
      <c r="E467" s="234"/>
      <c r="F467" s="235"/>
      <c r="G467" s="236">
        <f t="shared" ref="G467:G469" si="76">(D467*E467)+(D467*F467)</f>
        <v>0</v>
      </c>
      <c r="I467" s="33">
        <f>1.5*6+1*6</f>
        <v>15</v>
      </c>
      <c r="J467" s="51">
        <f>I467*3</f>
        <v>45</v>
      </c>
      <c r="K467" s="51">
        <f>0.6*2*3</f>
        <v>3.5999999999999996</v>
      </c>
      <c r="L467" s="51">
        <f>J467-K467</f>
        <v>41.4</v>
      </c>
    </row>
    <row r="468" spans="1:14" ht="15.75" x14ac:dyDescent="0.2">
      <c r="A468" s="284"/>
      <c r="B468" s="293" t="s">
        <v>494</v>
      </c>
      <c r="C468" s="286" t="s">
        <v>237</v>
      </c>
      <c r="D468" s="287">
        <v>8.64</v>
      </c>
      <c r="E468" s="234"/>
      <c r="F468" s="235"/>
      <c r="G468" s="236">
        <f t="shared" si="76"/>
        <v>0</v>
      </c>
      <c r="I468" s="33">
        <f>1.5+1.65*2</f>
        <v>4.8</v>
      </c>
      <c r="J468" s="51">
        <f>I468*1.8</f>
        <v>8.64</v>
      </c>
      <c r="K468" s="51"/>
      <c r="L468" s="51"/>
      <c r="M468" s="51">
        <f>SUM(K468:L468)</f>
        <v>0</v>
      </c>
      <c r="N468" s="51">
        <f>M468-2.4</f>
        <v>-2.4</v>
      </c>
    </row>
    <row r="469" spans="1:14" ht="15.75" x14ac:dyDescent="0.2">
      <c r="A469" s="284"/>
      <c r="B469" s="293" t="s">
        <v>495</v>
      </c>
      <c r="C469" s="286" t="s">
        <v>237</v>
      </c>
      <c r="D469" s="287">
        <v>2.1</v>
      </c>
      <c r="E469" s="234"/>
      <c r="F469" s="235"/>
      <c r="G469" s="236">
        <f t="shared" si="76"/>
        <v>0</v>
      </c>
      <c r="I469" s="51">
        <f>1.5*1.4</f>
        <v>2.0999999999999996</v>
      </c>
      <c r="J469" s="51"/>
      <c r="K469" s="51"/>
      <c r="L469" s="51"/>
      <c r="M469" s="51"/>
      <c r="N469" s="51"/>
    </row>
    <row r="470" spans="1:14" ht="12.75" x14ac:dyDescent="0.2">
      <c r="A470" s="284" t="s">
        <v>260</v>
      </c>
      <c r="B470" s="312" t="s">
        <v>254</v>
      </c>
      <c r="C470" s="286"/>
      <c r="D470" s="287"/>
      <c r="E470" s="234"/>
      <c r="F470" s="235"/>
      <c r="G470" s="236"/>
      <c r="I470" s="59"/>
      <c r="J470" s="29"/>
      <c r="K470" s="27"/>
      <c r="L470" s="27"/>
    </row>
    <row r="471" spans="1:14" ht="12.75" x14ac:dyDescent="0.2">
      <c r="A471" s="284" t="s">
        <v>177</v>
      </c>
      <c r="B471" s="293" t="s">
        <v>280</v>
      </c>
      <c r="C471" s="286" t="s">
        <v>128</v>
      </c>
      <c r="D471" s="287">
        <v>156.5</v>
      </c>
      <c r="E471" s="234"/>
      <c r="F471" s="235"/>
      <c r="G471" s="236">
        <f t="shared" ref="G471" si="77">(D471*E471)+(D471*F471)</f>
        <v>0</v>
      </c>
      <c r="I471" s="22">
        <f>8.3*8+6.2*6+3+4.28+19.4+25.5+4</f>
        <v>159.78</v>
      </c>
      <c r="J471" s="22">
        <f>0.55*6</f>
        <v>3.3000000000000003</v>
      </c>
      <c r="K471" s="22">
        <f>I471-J471</f>
        <v>156.47999999999999</v>
      </c>
    </row>
    <row r="472" spans="1:14" ht="12.75" x14ac:dyDescent="0.2">
      <c r="A472" s="284"/>
      <c r="B472" s="293"/>
      <c r="C472" s="286"/>
      <c r="D472" s="287"/>
      <c r="E472" s="234"/>
      <c r="F472" s="235"/>
      <c r="G472" s="236"/>
    </row>
    <row r="473" spans="1:14" x14ac:dyDescent="0.2">
      <c r="A473" s="314" t="s">
        <v>181</v>
      </c>
      <c r="B473" s="315" t="s">
        <v>223</v>
      </c>
      <c r="C473" s="265"/>
      <c r="D473" s="266"/>
      <c r="E473" s="267"/>
      <c r="F473" s="316"/>
      <c r="G473" s="317"/>
    </row>
    <row r="474" spans="1:14" ht="36" x14ac:dyDescent="0.2">
      <c r="A474" s="318"/>
      <c r="B474" s="319" t="s">
        <v>225</v>
      </c>
      <c r="C474" s="320"/>
      <c r="D474" s="180"/>
      <c r="E474" s="234"/>
      <c r="F474" s="235"/>
      <c r="G474" s="236"/>
    </row>
    <row r="475" spans="1:14" ht="13.5" x14ac:dyDescent="0.2">
      <c r="A475" s="318"/>
      <c r="B475" s="319" t="s">
        <v>224</v>
      </c>
      <c r="C475" s="232" t="s">
        <v>151</v>
      </c>
      <c r="D475" s="180">
        <f>D464+D446</f>
        <v>9</v>
      </c>
      <c r="E475" s="234"/>
      <c r="F475" s="235"/>
      <c r="G475" s="236">
        <f>(D475*E475)+(D475*F475)</f>
        <v>0</v>
      </c>
      <c r="I475" s="51">
        <f>D475/2.5</f>
        <v>3.6</v>
      </c>
      <c r="J475" s="51">
        <f>I475*800</f>
        <v>2880</v>
      </c>
      <c r="K475" s="51">
        <f>J475/D475</f>
        <v>320</v>
      </c>
    </row>
    <row r="476" spans="1:14" ht="13.5" x14ac:dyDescent="0.2">
      <c r="A476" s="318"/>
      <c r="B476" s="319" t="s">
        <v>357</v>
      </c>
      <c r="C476" s="232" t="s">
        <v>151</v>
      </c>
      <c r="D476" s="180">
        <f>D441+D462</f>
        <v>130.51499999999999</v>
      </c>
      <c r="E476" s="234"/>
      <c r="F476" s="235"/>
      <c r="G476" s="236">
        <f>(D476*E476)+(D476*F476)</f>
        <v>0</v>
      </c>
      <c r="I476" s="33"/>
      <c r="L476" s="33"/>
    </row>
    <row r="477" spans="1:14" x14ac:dyDescent="0.2">
      <c r="A477" s="318"/>
      <c r="B477" s="319"/>
      <c r="C477" s="232"/>
      <c r="D477" s="180"/>
      <c r="E477" s="234"/>
      <c r="F477" s="235"/>
      <c r="G477" s="236"/>
    </row>
    <row r="478" spans="1:14" x14ac:dyDescent="0.2">
      <c r="A478" s="314" t="s">
        <v>182</v>
      </c>
      <c r="B478" s="315" t="s">
        <v>238</v>
      </c>
      <c r="C478" s="265"/>
      <c r="D478" s="266"/>
      <c r="E478" s="267"/>
      <c r="F478" s="316"/>
      <c r="G478" s="317"/>
    </row>
    <row r="479" spans="1:14" ht="27" customHeight="1" x14ac:dyDescent="0.2">
      <c r="A479" s="321" t="s">
        <v>177</v>
      </c>
      <c r="B479" s="319" t="s">
        <v>267</v>
      </c>
      <c r="C479" s="232" t="s">
        <v>15</v>
      </c>
      <c r="D479" s="180">
        <v>1</v>
      </c>
      <c r="E479" s="234"/>
      <c r="F479" s="235"/>
      <c r="G479" s="236">
        <f>(D479*E479)+(D479*F479)</f>
        <v>0</v>
      </c>
      <c r="J479" s="51" t="e">
        <f>D437+D441+#REF!+#REF!+D443+#REF!+#REF!+#REF!+D458+D459+#REF!+D462+D464+D467+#REF!+#REF!+#REF!+#REF!+#REF!+#REF!+#REF!+#REF!+#REF!+#REF!+#REF!+#REF!+#REF!+#REF!+#REF!+#REF!+#REF!</f>
        <v>#REF!</v>
      </c>
      <c r="K479" s="51" t="e">
        <f>J479/3</f>
        <v>#REF!</v>
      </c>
      <c r="L479" s="51" t="e">
        <f>K479*235</f>
        <v>#REF!</v>
      </c>
      <c r="M479" s="51" t="e">
        <f>L479*2</f>
        <v>#REF!</v>
      </c>
    </row>
    <row r="480" spans="1:14" x14ac:dyDescent="0.2">
      <c r="A480" s="318"/>
      <c r="B480" s="319"/>
      <c r="C480" s="232"/>
      <c r="D480" s="180"/>
      <c r="E480" s="234"/>
      <c r="F480" s="235"/>
      <c r="G480" s="236"/>
    </row>
    <row r="481" spans="1:7" x14ac:dyDescent="0.2">
      <c r="A481" s="318"/>
      <c r="B481" s="319"/>
      <c r="C481" s="232"/>
      <c r="D481" s="180"/>
      <c r="E481" s="234"/>
      <c r="F481" s="235"/>
      <c r="G481" s="236"/>
    </row>
    <row r="482" spans="1:7" x14ac:dyDescent="0.2">
      <c r="A482" s="318"/>
      <c r="B482" s="319"/>
      <c r="C482" s="232"/>
      <c r="D482" s="180"/>
      <c r="E482" s="234"/>
      <c r="F482" s="235"/>
      <c r="G482" s="236"/>
    </row>
    <row r="483" spans="1:7" x14ac:dyDescent="0.2">
      <c r="A483" s="318"/>
      <c r="B483" s="319"/>
      <c r="C483" s="232"/>
      <c r="D483" s="180"/>
      <c r="E483" s="234"/>
      <c r="F483" s="235"/>
      <c r="G483" s="236"/>
    </row>
    <row r="484" spans="1:7" x14ac:dyDescent="0.2">
      <c r="A484" s="318"/>
      <c r="B484" s="319"/>
      <c r="C484" s="232"/>
      <c r="D484" s="180"/>
      <c r="E484" s="234"/>
      <c r="F484" s="235"/>
      <c r="G484" s="236"/>
    </row>
    <row r="485" spans="1:7" x14ac:dyDescent="0.2">
      <c r="A485" s="318"/>
      <c r="B485" s="319"/>
      <c r="C485" s="232"/>
      <c r="D485" s="180"/>
      <c r="E485" s="234"/>
      <c r="F485" s="235"/>
      <c r="G485" s="236"/>
    </row>
    <row r="486" spans="1:7" x14ac:dyDescent="0.2">
      <c r="A486" s="318"/>
      <c r="B486" s="319"/>
      <c r="C486" s="232"/>
      <c r="D486" s="180"/>
      <c r="E486" s="234"/>
      <c r="F486" s="235"/>
      <c r="G486" s="236"/>
    </row>
    <row r="487" spans="1:7" x14ac:dyDescent="0.2">
      <c r="A487" s="318"/>
      <c r="B487" s="319"/>
      <c r="C487" s="232"/>
      <c r="D487" s="180"/>
      <c r="E487" s="234"/>
      <c r="F487" s="235"/>
      <c r="G487" s="236"/>
    </row>
    <row r="488" spans="1:7" ht="12.75" thickBot="1" x14ac:dyDescent="0.25">
      <c r="A488" s="318"/>
      <c r="B488" s="319"/>
      <c r="C488" s="232"/>
      <c r="D488" s="180"/>
      <c r="E488" s="234"/>
      <c r="F488" s="235"/>
      <c r="G488" s="236"/>
    </row>
    <row r="489" spans="1:7" x14ac:dyDescent="0.2">
      <c r="A489" s="153"/>
      <c r="B489" s="154" t="s">
        <v>156</v>
      </c>
      <c r="C489" s="166"/>
      <c r="D489" s="156"/>
      <c r="E489" s="157"/>
      <c r="F489" s="275"/>
      <c r="G489" s="211"/>
    </row>
    <row r="490" spans="1:7" ht="12.75" thickBot="1" x14ac:dyDescent="0.25">
      <c r="A490" s="159"/>
      <c r="B490" s="142" t="s">
        <v>157</v>
      </c>
      <c r="C490" s="167"/>
      <c r="D490" s="161"/>
      <c r="E490" s="162"/>
      <c r="F490" s="276"/>
      <c r="G490" s="212">
        <f>SUM(G413:G489)</f>
        <v>0</v>
      </c>
    </row>
    <row r="491" spans="1:7" x14ac:dyDescent="0.2">
      <c r="A491" s="65"/>
      <c r="B491" s="79"/>
      <c r="C491" s="74"/>
      <c r="D491" s="61"/>
      <c r="E491" s="69"/>
      <c r="F491" s="49"/>
      <c r="G491" s="93"/>
    </row>
    <row r="492" spans="1:7" x14ac:dyDescent="0.2">
      <c r="A492" s="65"/>
      <c r="B492" s="100" t="s">
        <v>205</v>
      </c>
      <c r="C492" s="74"/>
      <c r="D492" s="61"/>
      <c r="E492" s="69"/>
      <c r="F492" s="49"/>
      <c r="G492" s="75"/>
    </row>
    <row r="493" spans="1:7" x14ac:dyDescent="0.2">
      <c r="A493" s="65"/>
      <c r="B493" s="66" t="s">
        <v>110</v>
      </c>
      <c r="C493" s="74"/>
      <c r="D493" s="61"/>
      <c r="E493" s="69"/>
      <c r="F493" s="49"/>
      <c r="G493" s="75"/>
    </row>
    <row r="494" spans="1:7" x14ac:dyDescent="0.2">
      <c r="A494" s="101" t="s">
        <v>183</v>
      </c>
      <c r="B494" s="72" t="s">
        <v>41</v>
      </c>
      <c r="C494" s="74"/>
      <c r="D494" s="61"/>
      <c r="E494" s="69"/>
      <c r="F494" s="49"/>
      <c r="G494" s="75"/>
    </row>
    <row r="495" spans="1:7" ht="29.25" customHeight="1" x14ac:dyDescent="0.2">
      <c r="A495" s="65"/>
      <c r="B495" s="588" t="s">
        <v>298</v>
      </c>
      <c r="C495" s="588"/>
      <c r="D495" s="588"/>
      <c r="E495" s="588"/>
      <c r="F495" s="102"/>
      <c r="G495" s="103"/>
    </row>
    <row r="496" spans="1:7" ht="42.75" customHeight="1" x14ac:dyDescent="0.2">
      <c r="A496" s="65"/>
      <c r="B496" s="588" t="s">
        <v>297</v>
      </c>
      <c r="C496" s="588"/>
      <c r="D496" s="588"/>
      <c r="E496" s="588"/>
      <c r="F496" s="102"/>
      <c r="G496" s="103"/>
    </row>
    <row r="497" spans="1:12" ht="28.5" customHeight="1" x14ac:dyDescent="0.2">
      <c r="A497" s="65"/>
      <c r="B497" s="588" t="s">
        <v>515</v>
      </c>
      <c r="C497" s="588"/>
      <c r="D497" s="588"/>
      <c r="E497" s="588"/>
      <c r="F497" s="102"/>
      <c r="G497" s="103"/>
    </row>
    <row r="498" spans="1:12" ht="26.25" customHeight="1" x14ac:dyDescent="0.2">
      <c r="A498" s="65"/>
      <c r="B498" s="588" t="s">
        <v>296</v>
      </c>
      <c r="C498" s="588"/>
      <c r="D498" s="588"/>
      <c r="E498" s="588"/>
      <c r="F498" s="102"/>
      <c r="G498" s="103"/>
    </row>
    <row r="499" spans="1:12" ht="13.5" customHeight="1" x14ac:dyDescent="0.2">
      <c r="A499" s="65"/>
      <c r="B499" s="585" t="s">
        <v>235</v>
      </c>
      <c r="C499" s="586"/>
      <c r="D499" s="586"/>
      <c r="E499" s="586"/>
      <c r="F499" s="586"/>
      <c r="G499" s="587"/>
    </row>
    <row r="500" spans="1:12" x14ac:dyDescent="0.2">
      <c r="A500" s="332" t="s">
        <v>160</v>
      </c>
      <c r="B500" s="333" t="s">
        <v>112</v>
      </c>
      <c r="C500" s="334"/>
      <c r="D500" s="335"/>
      <c r="E500" s="311"/>
      <c r="F500" s="216"/>
      <c r="G500" s="217"/>
    </row>
    <row r="501" spans="1:12" x14ac:dyDescent="0.2">
      <c r="A501" s="336"/>
      <c r="B501" s="337" t="s">
        <v>438</v>
      </c>
      <c r="C501" s="338"/>
      <c r="D501" s="339"/>
      <c r="E501" s="340"/>
      <c r="F501" s="341"/>
      <c r="G501" s="342"/>
    </row>
    <row r="502" spans="1:12" s="52" customFormat="1" ht="40.5" customHeight="1" x14ac:dyDescent="0.2">
      <c r="A502" s="343" t="s">
        <v>177</v>
      </c>
      <c r="B502" s="344" t="s">
        <v>510</v>
      </c>
      <c r="C502" s="345" t="s">
        <v>113</v>
      </c>
      <c r="D502" s="180">
        <v>6</v>
      </c>
      <c r="E502" s="181"/>
      <c r="F502" s="346"/>
      <c r="G502" s="347">
        <f t="shared" ref="G502:G504" si="78">(D502*E502)+(D502*F502)</f>
        <v>0</v>
      </c>
      <c r="I502" s="62">
        <f>0.95*2.6</f>
        <v>2.4699999999999998</v>
      </c>
      <c r="J502" s="58">
        <f>I502*D502</f>
        <v>14.819999999999999</v>
      </c>
      <c r="K502" s="62">
        <f>J502+J506+J507+J508</f>
        <v>50.058000000000007</v>
      </c>
    </row>
    <row r="503" spans="1:12" s="52" customFormat="1" ht="28.5" customHeight="1" x14ac:dyDescent="0.2">
      <c r="A503" s="343" t="s">
        <v>178</v>
      </c>
      <c r="B503" s="344" t="s">
        <v>468</v>
      </c>
      <c r="C503" s="345" t="s">
        <v>113</v>
      </c>
      <c r="D503" s="180">
        <v>1</v>
      </c>
      <c r="E503" s="181"/>
      <c r="F503" s="346"/>
      <c r="G503" s="347">
        <f t="shared" si="78"/>
        <v>0</v>
      </c>
      <c r="I503" s="62">
        <f>0.95*2.15</f>
        <v>2.0425</v>
      </c>
      <c r="J503" s="58">
        <f t="shared" ref="J503" si="79">I503*D503</f>
        <v>2.0425</v>
      </c>
      <c r="K503" s="62"/>
    </row>
    <row r="504" spans="1:12" s="52" customFormat="1" ht="24.75" customHeight="1" x14ac:dyDescent="0.2">
      <c r="A504" s="343" t="s">
        <v>191</v>
      </c>
      <c r="B504" s="344" t="s">
        <v>469</v>
      </c>
      <c r="C504" s="345" t="s">
        <v>113</v>
      </c>
      <c r="D504" s="180">
        <v>4</v>
      </c>
      <c r="E504" s="181"/>
      <c r="F504" s="346"/>
      <c r="G504" s="347">
        <f t="shared" si="78"/>
        <v>0</v>
      </c>
      <c r="I504" s="58">
        <f>0.78*2</f>
        <v>1.56</v>
      </c>
      <c r="J504" s="58">
        <f>I504*D504</f>
        <v>6.24</v>
      </c>
      <c r="K504" s="62"/>
    </row>
    <row r="505" spans="1:12" ht="12" customHeight="1" x14ac:dyDescent="0.2">
      <c r="A505" s="336"/>
      <c r="B505" s="337" t="s">
        <v>437</v>
      </c>
      <c r="C505" s="338"/>
      <c r="D505" s="339"/>
      <c r="E505" s="340"/>
      <c r="F505" s="341"/>
      <c r="G505" s="342"/>
      <c r="I505" s="33"/>
      <c r="J505" s="58"/>
      <c r="K505" s="51"/>
      <c r="L505" s="51">
        <f>J504+I503</f>
        <v>8.2825000000000006</v>
      </c>
    </row>
    <row r="506" spans="1:12" ht="42" customHeight="1" x14ac:dyDescent="0.2">
      <c r="A506" s="343" t="s">
        <v>177</v>
      </c>
      <c r="B506" s="344" t="s">
        <v>511</v>
      </c>
      <c r="C506" s="345" t="s">
        <v>113</v>
      </c>
      <c r="D506" s="180">
        <v>6</v>
      </c>
      <c r="E506" s="181"/>
      <c r="F506" s="346"/>
      <c r="G506" s="347">
        <f t="shared" ref="G506:G508" si="80">(D506*E506)+(D506*F506)</f>
        <v>0</v>
      </c>
      <c r="I506" s="33">
        <f>2.45*1.29</f>
        <v>3.1605000000000003</v>
      </c>
      <c r="J506" s="58">
        <f>I506*D506</f>
        <v>18.963000000000001</v>
      </c>
      <c r="K506" s="51"/>
    </row>
    <row r="507" spans="1:12" ht="37.5" customHeight="1" x14ac:dyDescent="0.2">
      <c r="A507" s="343" t="s">
        <v>178</v>
      </c>
      <c r="B507" s="344" t="s">
        <v>512</v>
      </c>
      <c r="C507" s="345" t="s">
        <v>113</v>
      </c>
      <c r="D507" s="180">
        <v>6</v>
      </c>
      <c r="E507" s="181"/>
      <c r="F507" s="346"/>
      <c r="G507" s="347">
        <f t="shared" si="80"/>
        <v>0</v>
      </c>
      <c r="I507" s="33">
        <f>1.575*1.6</f>
        <v>2.52</v>
      </c>
      <c r="J507" s="58">
        <f t="shared" ref="J507:J508" si="81">I507*D507</f>
        <v>15.120000000000001</v>
      </c>
      <c r="K507" s="51"/>
    </row>
    <row r="508" spans="1:12" ht="26.25" customHeight="1" x14ac:dyDescent="0.2">
      <c r="A508" s="343" t="s">
        <v>191</v>
      </c>
      <c r="B508" s="344" t="s">
        <v>470</v>
      </c>
      <c r="C508" s="345" t="s">
        <v>113</v>
      </c>
      <c r="D508" s="180">
        <v>3</v>
      </c>
      <c r="E508" s="181"/>
      <c r="F508" s="346"/>
      <c r="G508" s="347">
        <f t="shared" si="80"/>
        <v>0</v>
      </c>
      <c r="I508" s="33">
        <f>0.7*0.55</f>
        <v>0.38500000000000001</v>
      </c>
      <c r="J508" s="58">
        <f t="shared" si="81"/>
        <v>1.155</v>
      </c>
      <c r="K508" s="51"/>
    </row>
    <row r="509" spans="1:12" ht="12" customHeight="1" x14ac:dyDescent="0.2">
      <c r="A509" s="336"/>
      <c r="B509" s="337" t="s">
        <v>436</v>
      </c>
      <c r="C509" s="338"/>
      <c r="D509" s="339"/>
      <c r="E509" s="340"/>
      <c r="F509" s="341"/>
      <c r="G509" s="342"/>
      <c r="I509" s="33"/>
      <c r="J509" s="58">
        <f>SUM(J502:J508)</f>
        <v>58.340500000000006</v>
      </c>
      <c r="K509" s="51">
        <f>J509-J504</f>
        <v>52.100500000000004</v>
      </c>
      <c r="L509" s="51">
        <f>J504</f>
        <v>6.24</v>
      </c>
    </row>
    <row r="510" spans="1:12" ht="30" customHeight="1" x14ac:dyDescent="0.2">
      <c r="A510" s="343" t="s">
        <v>177</v>
      </c>
      <c r="B510" s="344" t="s">
        <v>472</v>
      </c>
      <c r="C510" s="345" t="s">
        <v>113</v>
      </c>
      <c r="D510" s="180">
        <v>8</v>
      </c>
      <c r="E510" s="181"/>
      <c r="F510" s="346"/>
      <c r="G510" s="347">
        <f t="shared" ref="G510:G511" si="82">(D510*E510)+(D510*F510)</f>
        <v>0</v>
      </c>
      <c r="I510" s="33"/>
      <c r="J510" s="58"/>
      <c r="K510" s="51"/>
    </row>
    <row r="511" spans="1:12" ht="25.5" customHeight="1" x14ac:dyDescent="0.2">
      <c r="A511" s="343" t="s">
        <v>178</v>
      </c>
      <c r="B511" s="344" t="s">
        <v>473</v>
      </c>
      <c r="C511" s="345" t="s">
        <v>113</v>
      </c>
      <c r="D511" s="180">
        <v>2</v>
      </c>
      <c r="E511" s="181"/>
      <c r="F511" s="346"/>
      <c r="G511" s="347">
        <f t="shared" si="82"/>
        <v>0</v>
      </c>
      <c r="I511" s="33"/>
      <c r="J511" s="58"/>
      <c r="K511" s="51"/>
    </row>
    <row r="512" spans="1:12" ht="12" customHeight="1" x14ac:dyDescent="0.2">
      <c r="A512" s="343"/>
      <c r="B512" s="344"/>
      <c r="C512" s="345"/>
      <c r="D512" s="180"/>
      <c r="E512" s="181"/>
      <c r="F512" s="346"/>
      <c r="G512" s="347"/>
      <c r="I512" s="33"/>
      <c r="J512" s="58"/>
      <c r="K512" s="51"/>
    </row>
    <row r="513" spans="1:12" x14ac:dyDescent="0.2">
      <c r="A513" s="348" t="s">
        <v>161</v>
      </c>
      <c r="B513" s="349" t="s">
        <v>69</v>
      </c>
      <c r="C513" s="350"/>
      <c r="D513" s="351"/>
      <c r="E513" s="313"/>
      <c r="F513" s="221"/>
      <c r="G513" s="222"/>
      <c r="J513" s="33"/>
      <c r="K513" s="33"/>
    </row>
    <row r="514" spans="1:12" x14ac:dyDescent="0.2">
      <c r="A514" s="336"/>
      <c r="B514" s="337" t="s">
        <v>438</v>
      </c>
      <c r="C514" s="338"/>
      <c r="D514" s="339"/>
      <c r="E514" s="340"/>
      <c r="F514" s="341"/>
      <c r="G514" s="342"/>
      <c r="K514" s="33"/>
    </row>
    <row r="515" spans="1:12" ht="36" x14ac:dyDescent="0.2">
      <c r="A515" s="343" t="s">
        <v>177</v>
      </c>
      <c r="B515" s="344" t="s">
        <v>471</v>
      </c>
      <c r="C515" s="345" t="s">
        <v>113</v>
      </c>
      <c r="D515" s="180">
        <v>7</v>
      </c>
      <c r="E515" s="181"/>
      <c r="F515" s="346"/>
      <c r="G515" s="347">
        <f t="shared" ref="G515:G516" si="83">(D515*E515)+(D515*F515)</f>
        <v>0</v>
      </c>
      <c r="H515" s="52"/>
      <c r="I515" s="62">
        <f>0.95*2.6</f>
        <v>2.4699999999999998</v>
      </c>
      <c r="J515" s="58">
        <f>I515*D515</f>
        <v>17.29</v>
      </c>
      <c r="K515" s="62">
        <f>J515+J519+J520+J521</f>
        <v>34.394599999999997</v>
      </c>
      <c r="L515" s="52"/>
    </row>
    <row r="516" spans="1:12" ht="24" x14ac:dyDescent="0.2">
      <c r="A516" s="343" t="s">
        <v>178</v>
      </c>
      <c r="B516" s="344" t="s">
        <v>469</v>
      </c>
      <c r="C516" s="345" t="s">
        <v>113</v>
      </c>
      <c r="D516" s="180">
        <v>4</v>
      </c>
      <c r="E516" s="181"/>
      <c r="F516" s="346"/>
      <c r="G516" s="347">
        <f t="shared" si="83"/>
        <v>0</v>
      </c>
      <c r="H516" s="52"/>
      <c r="I516" s="58">
        <f>0.78*2</f>
        <v>1.56</v>
      </c>
      <c r="J516" s="58">
        <f>I516*D516</f>
        <v>6.24</v>
      </c>
      <c r="K516" s="62"/>
      <c r="L516" s="52"/>
    </row>
    <row r="517" spans="1:12" ht="12" customHeight="1" x14ac:dyDescent="0.2">
      <c r="A517" s="336"/>
      <c r="B517" s="337" t="s">
        <v>437</v>
      </c>
      <c r="C517" s="338"/>
      <c r="D517" s="339"/>
      <c r="E517" s="340"/>
      <c r="F517" s="341"/>
      <c r="G517" s="342"/>
      <c r="I517" s="33"/>
      <c r="J517" s="58">
        <f t="shared" ref="J517" si="84">I517*D517</f>
        <v>0</v>
      </c>
      <c r="K517" s="62"/>
      <c r="L517" s="52"/>
    </row>
    <row r="518" spans="1:12" ht="36" x14ac:dyDescent="0.2">
      <c r="A518" s="343" t="s">
        <v>177</v>
      </c>
      <c r="B518" s="344" t="s">
        <v>511</v>
      </c>
      <c r="C518" s="345" t="s">
        <v>113</v>
      </c>
      <c r="D518" s="180">
        <v>6</v>
      </c>
      <c r="E518" s="181"/>
      <c r="F518" s="346"/>
      <c r="G518" s="347">
        <f t="shared" ref="G518:G519" si="85">(D518*E518)+(D518*F518)</f>
        <v>0</v>
      </c>
      <c r="I518" s="33">
        <f>2.45*1.29</f>
        <v>3.1605000000000003</v>
      </c>
      <c r="J518" s="58">
        <f>D518*I518</f>
        <v>18.963000000000001</v>
      </c>
      <c r="K518" s="51"/>
      <c r="L518" s="51">
        <f>J517+I516</f>
        <v>1.56</v>
      </c>
    </row>
    <row r="519" spans="1:12" ht="39" customHeight="1" thickBot="1" x14ac:dyDescent="0.25">
      <c r="A519" s="565" t="s">
        <v>178</v>
      </c>
      <c r="B519" s="435" t="s">
        <v>512</v>
      </c>
      <c r="C519" s="566" t="s">
        <v>113</v>
      </c>
      <c r="D519" s="331">
        <v>6</v>
      </c>
      <c r="E519" s="199"/>
      <c r="F519" s="567"/>
      <c r="G519" s="568">
        <f t="shared" si="85"/>
        <v>0</v>
      </c>
      <c r="I519" s="33">
        <f>1.575*1.6</f>
        <v>2.52</v>
      </c>
      <c r="J519" s="58">
        <f>I519*D519</f>
        <v>15.120000000000001</v>
      </c>
      <c r="K519" s="51"/>
    </row>
    <row r="520" spans="1:12" ht="38.25" customHeight="1" x14ac:dyDescent="0.2">
      <c r="A520" s="343" t="s">
        <v>191</v>
      </c>
      <c r="B520" s="344" t="s">
        <v>513</v>
      </c>
      <c r="C520" s="345" t="s">
        <v>113</v>
      </c>
      <c r="D520" s="180">
        <v>1</v>
      </c>
      <c r="E520" s="181"/>
      <c r="F520" s="346"/>
      <c r="G520" s="347">
        <f t="shared" ref="G520:G521" si="86">(D520*E520)+(D520*F520)</f>
        <v>0</v>
      </c>
      <c r="I520" s="33">
        <f>1.24*1.29</f>
        <v>1.5996000000000001</v>
      </c>
      <c r="J520" s="58">
        <f t="shared" ref="J520:J521" si="87">I520*D520</f>
        <v>1.5996000000000001</v>
      </c>
      <c r="K520" s="51"/>
    </row>
    <row r="521" spans="1:12" ht="24" x14ac:dyDescent="0.2">
      <c r="A521" s="343" t="s">
        <v>192</v>
      </c>
      <c r="B521" s="344" t="s">
        <v>470</v>
      </c>
      <c r="C521" s="345" t="s">
        <v>113</v>
      </c>
      <c r="D521" s="180">
        <v>1</v>
      </c>
      <c r="E521" s="181"/>
      <c r="F521" s="346"/>
      <c r="G521" s="347">
        <f t="shared" si="86"/>
        <v>0</v>
      </c>
      <c r="I521" s="33">
        <f>0.7*0.55</f>
        <v>0.38500000000000001</v>
      </c>
      <c r="J521" s="58">
        <f t="shared" si="87"/>
        <v>0.38500000000000001</v>
      </c>
      <c r="K521" s="51"/>
    </row>
    <row r="522" spans="1:12" ht="12" customHeight="1" x14ac:dyDescent="0.2">
      <c r="A522" s="336"/>
      <c r="B522" s="337" t="s">
        <v>436</v>
      </c>
      <c r="C522" s="338"/>
      <c r="D522" s="339"/>
      <c r="E522" s="340"/>
      <c r="F522" s="341"/>
      <c r="G522" s="342"/>
      <c r="I522" s="33"/>
      <c r="J522" s="58">
        <f>SUM(J515:J521)</f>
        <v>59.5976</v>
      </c>
      <c r="K522" s="51">
        <f>J522-J516</f>
        <v>53.357599999999998</v>
      </c>
      <c r="L522" s="51"/>
    </row>
    <row r="523" spans="1:12" ht="24" customHeight="1" x14ac:dyDescent="0.2">
      <c r="A523" s="343" t="s">
        <v>177</v>
      </c>
      <c r="B523" s="344" t="s">
        <v>439</v>
      </c>
      <c r="C523" s="345" t="s">
        <v>113</v>
      </c>
      <c r="D523" s="180">
        <v>8</v>
      </c>
      <c r="E523" s="181"/>
      <c r="F523" s="346"/>
      <c r="G523" s="347">
        <f t="shared" ref="G523:G524" si="88">(D523*E523)+(D523*F523)</f>
        <v>0</v>
      </c>
      <c r="I523" s="33"/>
      <c r="J523" s="58"/>
      <c r="K523" s="33"/>
    </row>
    <row r="524" spans="1:12" ht="25.5" customHeight="1" x14ac:dyDescent="0.2">
      <c r="A524" s="343" t="s">
        <v>178</v>
      </c>
      <c r="B524" s="344" t="s">
        <v>440</v>
      </c>
      <c r="C524" s="345" t="s">
        <v>113</v>
      </c>
      <c r="D524" s="180">
        <v>2</v>
      </c>
      <c r="E524" s="181"/>
      <c r="F524" s="346"/>
      <c r="G524" s="347">
        <f t="shared" si="88"/>
        <v>0</v>
      </c>
      <c r="I524" s="33"/>
      <c r="J524" s="58"/>
      <c r="K524" s="33"/>
    </row>
    <row r="525" spans="1:12" x14ac:dyDescent="0.2">
      <c r="A525" s="343"/>
      <c r="B525" s="344"/>
      <c r="C525" s="186"/>
      <c r="D525" s="180"/>
      <c r="E525" s="181"/>
      <c r="F525" s="182"/>
      <c r="G525" s="183"/>
      <c r="I525" s="51"/>
      <c r="J525" s="33"/>
    </row>
    <row r="526" spans="1:12" x14ac:dyDescent="0.2">
      <c r="A526" s="343"/>
      <c r="B526" s="344"/>
      <c r="C526" s="186"/>
      <c r="D526" s="180"/>
      <c r="E526" s="181"/>
      <c r="F526" s="182"/>
      <c r="G526" s="183"/>
      <c r="I526" s="51"/>
      <c r="J526" s="33"/>
    </row>
    <row r="527" spans="1:12" ht="12.75" thickBot="1" x14ac:dyDescent="0.25">
      <c r="A527" s="343"/>
      <c r="B527" s="344"/>
      <c r="C527" s="186"/>
      <c r="D527" s="180"/>
      <c r="E527" s="181"/>
      <c r="F527" s="182"/>
      <c r="G527" s="183"/>
      <c r="I527" s="51"/>
      <c r="J527" s="33"/>
    </row>
    <row r="528" spans="1:12" x14ac:dyDescent="0.2">
      <c r="A528" s="357"/>
      <c r="B528" s="154" t="s">
        <v>206</v>
      </c>
      <c r="C528" s="358"/>
      <c r="D528" s="359"/>
      <c r="E528" s="157"/>
      <c r="F528" s="275"/>
      <c r="G528" s="211"/>
    </row>
    <row r="529" spans="1:9" ht="12.75" thickBot="1" x14ac:dyDescent="0.25">
      <c r="A529" s="360"/>
      <c r="B529" s="142" t="s">
        <v>207</v>
      </c>
      <c r="C529" s="361"/>
      <c r="D529" s="362"/>
      <c r="E529" s="162"/>
      <c r="F529" s="276"/>
      <c r="G529" s="212">
        <f>SUM(G502:G528)</f>
        <v>0</v>
      </c>
    </row>
    <row r="530" spans="1:9" ht="12.75" thickBot="1" x14ac:dyDescent="0.25">
      <c r="A530" s="101"/>
      <c r="B530" s="79"/>
      <c r="C530" s="67"/>
      <c r="D530" s="68"/>
      <c r="E530" s="69"/>
      <c r="F530" s="49"/>
      <c r="G530" s="93"/>
    </row>
    <row r="531" spans="1:9" x14ac:dyDescent="0.2">
      <c r="A531" s="153"/>
      <c r="B531" s="363" t="s">
        <v>208</v>
      </c>
      <c r="C531" s="166"/>
      <c r="D531" s="156"/>
      <c r="E531" s="157"/>
      <c r="F531" s="209"/>
      <c r="G531" s="210"/>
    </row>
    <row r="532" spans="1:9" x14ac:dyDescent="0.2">
      <c r="A532" s="65"/>
      <c r="B532" s="66" t="s">
        <v>176</v>
      </c>
      <c r="C532" s="74"/>
      <c r="D532" s="61"/>
      <c r="E532" s="69"/>
      <c r="F532" s="49"/>
      <c r="G532" s="75"/>
    </row>
    <row r="533" spans="1:9" x14ac:dyDescent="0.2">
      <c r="A533" s="101" t="s">
        <v>111</v>
      </c>
      <c r="B533" s="80" t="s">
        <v>41</v>
      </c>
      <c r="C533" s="74"/>
      <c r="D533" s="61"/>
      <c r="E533" s="69"/>
      <c r="F533" s="49"/>
      <c r="G533" s="75"/>
    </row>
    <row r="534" spans="1:9" ht="62.25" customHeight="1" x14ac:dyDescent="0.2">
      <c r="A534" s="101"/>
      <c r="B534" s="121" t="s">
        <v>281</v>
      </c>
      <c r="C534" s="122"/>
      <c r="D534" s="122"/>
      <c r="E534" s="122"/>
      <c r="F534" s="122"/>
      <c r="G534" s="123"/>
    </row>
    <row r="535" spans="1:9" ht="42.75" customHeight="1" x14ac:dyDescent="0.2">
      <c r="A535" s="101"/>
      <c r="B535" s="124" t="s">
        <v>117</v>
      </c>
      <c r="C535" s="124"/>
      <c r="D535" s="124"/>
      <c r="E535" s="124"/>
      <c r="F535" s="124"/>
      <c r="G535" s="125"/>
      <c r="I535" s="33"/>
    </row>
    <row r="536" spans="1:9" ht="39" customHeight="1" x14ac:dyDescent="0.2">
      <c r="A536" s="65"/>
      <c r="B536" s="126" t="s">
        <v>261</v>
      </c>
      <c r="C536" s="126"/>
      <c r="D536" s="126"/>
      <c r="E536" s="126"/>
      <c r="F536" s="126"/>
      <c r="G536" s="127"/>
    </row>
    <row r="537" spans="1:9" ht="12" customHeight="1" thickBot="1" x14ac:dyDescent="0.25">
      <c r="A537" s="159"/>
      <c r="B537" s="364"/>
      <c r="C537" s="364"/>
      <c r="D537" s="364"/>
      <c r="E537" s="364"/>
      <c r="F537" s="364"/>
      <c r="G537" s="365"/>
    </row>
    <row r="538" spans="1:9" x14ac:dyDescent="0.2">
      <c r="A538" s="366" t="s">
        <v>184</v>
      </c>
      <c r="B538" s="367" t="s">
        <v>92</v>
      </c>
      <c r="C538" s="368"/>
      <c r="D538" s="369"/>
      <c r="E538" s="370"/>
      <c r="F538" s="369"/>
      <c r="G538" s="371"/>
    </row>
    <row r="539" spans="1:9" x14ac:dyDescent="0.2">
      <c r="A539" s="348" t="s">
        <v>160</v>
      </c>
      <c r="B539" s="349" t="s">
        <v>363</v>
      </c>
      <c r="C539" s="372"/>
      <c r="D539" s="373"/>
      <c r="E539" s="374"/>
      <c r="F539" s="221"/>
      <c r="G539" s="222"/>
    </row>
    <row r="540" spans="1:9" ht="13.5" x14ac:dyDescent="0.2">
      <c r="A540" s="352"/>
      <c r="B540" s="375" t="s">
        <v>475</v>
      </c>
      <c r="C540" s="376" t="s">
        <v>152</v>
      </c>
      <c r="D540" s="180">
        <f>D414</f>
        <v>154.4</v>
      </c>
      <c r="E540" s="181"/>
      <c r="F540" s="182"/>
      <c r="G540" s="183">
        <f>(D540*E540)+(D540*F540)</f>
        <v>0</v>
      </c>
      <c r="I540" s="51">
        <f>D458+D438</f>
        <v>178.3</v>
      </c>
    </row>
    <row r="541" spans="1:9" ht="13.5" x14ac:dyDescent="0.2">
      <c r="A541" s="352"/>
      <c r="B541" s="375" t="s">
        <v>498</v>
      </c>
      <c r="C541" s="376" t="s">
        <v>152</v>
      </c>
      <c r="D541" s="180">
        <f>D423</f>
        <v>154.4</v>
      </c>
      <c r="E541" s="181"/>
      <c r="F541" s="182"/>
      <c r="G541" s="183"/>
      <c r="I541" s="51">
        <f>D423+12.05</f>
        <v>166.45000000000002</v>
      </c>
    </row>
    <row r="542" spans="1:9" x14ac:dyDescent="0.2">
      <c r="A542" s="352"/>
      <c r="B542" s="375"/>
      <c r="C542" s="376"/>
      <c r="D542" s="180"/>
      <c r="E542" s="181"/>
      <c r="F542" s="182"/>
      <c r="G542" s="183"/>
      <c r="I542" s="51"/>
    </row>
    <row r="543" spans="1:9" x14ac:dyDescent="0.2">
      <c r="A543" s="348" t="s">
        <v>161</v>
      </c>
      <c r="B543" s="349" t="s">
        <v>364</v>
      </c>
      <c r="C543" s="372"/>
      <c r="D543" s="373"/>
      <c r="E543" s="374"/>
      <c r="F543" s="221"/>
      <c r="G543" s="222"/>
      <c r="I543" s="51"/>
    </row>
    <row r="544" spans="1:9" ht="13.5" x14ac:dyDescent="0.2">
      <c r="A544" s="352"/>
      <c r="B544" s="375" t="s">
        <v>474</v>
      </c>
      <c r="C544" s="376" t="s">
        <v>152</v>
      </c>
      <c r="D544" s="180">
        <v>12.38</v>
      </c>
      <c r="E544" s="181"/>
      <c r="F544" s="182"/>
      <c r="G544" s="183">
        <f>(D544*E544)+(D544*F544)</f>
        <v>0</v>
      </c>
      <c r="I544" s="51">
        <f>D419+1.5*0.6+4.5+2.475</f>
        <v>12.375</v>
      </c>
    </row>
    <row r="545" spans="1:9" ht="13.5" x14ac:dyDescent="0.2">
      <c r="A545" s="352"/>
      <c r="B545" s="375" t="s">
        <v>365</v>
      </c>
      <c r="C545" s="376" t="s">
        <v>152</v>
      </c>
      <c r="D545" s="180">
        <v>97.04</v>
      </c>
      <c r="E545" s="181"/>
      <c r="F545" s="182"/>
      <c r="G545" s="183">
        <f t="shared" ref="G545:G546" si="89">(D545*E545)+(D545*F545)</f>
        <v>0</v>
      </c>
      <c r="I545" s="51">
        <f>D424+D425+D426+D427+4.3*3.2</f>
        <v>97.04</v>
      </c>
    </row>
    <row r="546" spans="1:9" ht="13.5" x14ac:dyDescent="0.2">
      <c r="A546" s="352"/>
      <c r="B546" s="375" t="s">
        <v>366</v>
      </c>
      <c r="C546" s="376" t="s">
        <v>152</v>
      </c>
      <c r="D546" s="180">
        <v>40</v>
      </c>
      <c r="E546" s="181"/>
      <c r="F546" s="182"/>
      <c r="G546" s="183">
        <f t="shared" si="89"/>
        <v>0</v>
      </c>
      <c r="I546" s="22">
        <f>25.8*0.775*2</f>
        <v>39.99</v>
      </c>
    </row>
    <row r="547" spans="1:9" x14ac:dyDescent="0.2">
      <c r="A547" s="352"/>
      <c r="B547" s="375"/>
      <c r="C547" s="376"/>
      <c r="D547" s="180"/>
      <c r="E547" s="181"/>
      <c r="F547" s="182"/>
      <c r="G547" s="183"/>
    </row>
    <row r="548" spans="1:9" x14ac:dyDescent="0.2">
      <c r="A548" s="263" t="s">
        <v>385</v>
      </c>
      <c r="B548" s="377" t="s">
        <v>386</v>
      </c>
      <c r="C548" s="265"/>
      <c r="D548" s="266"/>
      <c r="E548" s="267"/>
      <c r="F548" s="266"/>
      <c r="G548" s="268"/>
    </row>
    <row r="549" spans="1:9" ht="36" x14ac:dyDescent="0.2">
      <c r="A549" s="177" t="s">
        <v>177</v>
      </c>
      <c r="B549" s="375" t="s">
        <v>387</v>
      </c>
      <c r="C549" s="376" t="s">
        <v>382</v>
      </c>
      <c r="D549" s="180">
        <v>52</v>
      </c>
      <c r="E549" s="181"/>
      <c r="F549" s="182"/>
      <c r="G549" s="183"/>
      <c r="I549" s="22">
        <f>25.8*2</f>
        <v>51.6</v>
      </c>
    </row>
    <row r="550" spans="1:9" x14ac:dyDescent="0.2">
      <c r="A550" s="352"/>
      <c r="B550" s="375"/>
      <c r="C550" s="376"/>
      <c r="D550" s="180"/>
      <c r="E550" s="181"/>
      <c r="F550" s="182"/>
      <c r="G550" s="183"/>
    </row>
    <row r="551" spans="1:9" x14ac:dyDescent="0.2">
      <c r="A551" s="352"/>
      <c r="B551" s="375"/>
      <c r="C551" s="376"/>
      <c r="D551" s="180"/>
      <c r="E551" s="181"/>
      <c r="F551" s="182"/>
      <c r="G551" s="183"/>
    </row>
    <row r="552" spans="1:9" x14ac:dyDescent="0.2">
      <c r="A552" s="352"/>
      <c r="B552" s="375"/>
      <c r="C552" s="376"/>
      <c r="D552" s="180"/>
      <c r="E552" s="181"/>
      <c r="F552" s="182"/>
      <c r="G552" s="183"/>
    </row>
    <row r="553" spans="1:9" x14ac:dyDescent="0.2">
      <c r="A553" s="352"/>
      <c r="B553" s="375"/>
      <c r="C553" s="376"/>
      <c r="D553" s="180"/>
      <c r="E553" s="181"/>
      <c r="F553" s="182"/>
      <c r="G553" s="183"/>
    </row>
    <row r="554" spans="1:9" x14ac:dyDescent="0.2">
      <c r="A554" s="352"/>
      <c r="B554" s="375"/>
      <c r="C554" s="376"/>
      <c r="D554" s="180"/>
      <c r="E554" s="181"/>
      <c r="F554" s="182"/>
      <c r="G554" s="183"/>
    </row>
    <row r="555" spans="1:9" x14ac:dyDescent="0.2">
      <c r="A555" s="352"/>
      <c r="B555" s="375"/>
      <c r="C555" s="376"/>
      <c r="D555" s="180"/>
      <c r="E555" s="181"/>
      <c r="F555" s="182"/>
      <c r="G555" s="183"/>
    </row>
    <row r="556" spans="1:9" x14ac:dyDescent="0.2">
      <c r="A556" s="352"/>
      <c r="B556" s="375"/>
      <c r="C556" s="376"/>
      <c r="D556" s="180"/>
      <c r="E556" s="181"/>
      <c r="F556" s="182"/>
      <c r="G556" s="183"/>
    </row>
    <row r="557" spans="1:9" x14ac:dyDescent="0.2">
      <c r="A557" s="352"/>
      <c r="B557" s="375"/>
      <c r="C557" s="376"/>
      <c r="D557" s="180"/>
      <c r="E557" s="181"/>
      <c r="F557" s="182"/>
      <c r="G557" s="183"/>
    </row>
    <row r="558" spans="1:9" ht="12.75" thickBot="1" x14ac:dyDescent="0.25">
      <c r="A558" s="352"/>
      <c r="B558" s="375"/>
      <c r="C558" s="376"/>
      <c r="D558" s="180"/>
      <c r="E558" s="181"/>
      <c r="F558" s="182"/>
      <c r="G558" s="183"/>
    </row>
    <row r="559" spans="1:9" x14ac:dyDescent="0.2">
      <c r="A559" s="153"/>
      <c r="B559" s="154" t="s">
        <v>209</v>
      </c>
      <c r="C559" s="166"/>
      <c r="D559" s="156"/>
      <c r="E559" s="157"/>
      <c r="F559" s="275"/>
      <c r="G559" s="210"/>
    </row>
    <row r="560" spans="1:9" ht="12.75" thickBot="1" x14ac:dyDescent="0.25">
      <c r="A560" s="159"/>
      <c r="B560" s="142" t="s">
        <v>114</v>
      </c>
      <c r="C560" s="167"/>
      <c r="D560" s="161"/>
      <c r="E560" s="162"/>
      <c r="F560" s="276"/>
      <c r="G560" s="146">
        <f>SUM(G540:G545)</f>
        <v>0</v>
      </c>
    </row>
    <row r="561" spans="1:11" x14ac:dyDescent="0.2">
      <c r="A561" s="153"/>
      <c r="B561" s="154"/>
      <c r="C561" s="166"/>
      <c r="D561" s="156"/>
      <c r="E561" s="157"/>
      <c r="F561" s="209"/>
      <c r="G561" s="470"/>
    </row>
    <row r="562" spans="1:11" x14ac:dyDescent="0.2">
      <c r="A562" s="65"/>
      <c r="B562" s="100" t="s">
        <v>115</v>
      </c>
      <c r="C562" s="74"/>
      <c r="D562" s="61"/>
      <c r="E562" s="69"/>
      <c r="F562" s="49"/>
      <c r="G562" s="75"/>
    </row>
    <row r="563" spans="1:11" x14ac:dyDescent="0.2">
      <c r="A563" s="65"/>
      <c r="B563" s="66" t="s">
        <v>94</v>
      </c>
      <c r="C563" s="74"/>
      <c r="D563" s="61"/>
      <c r="E563" s="69"/>
      <c r="F563" s="49"/>
      <c r="G563" s="75"/>
    </row>
    <row r="564" spans="1:11" x14ac:dyDescent="0.2">
      <c r="A564" s="101" t="s">
        <v>116</v>
      </c>
      <c r="B564" s="80" t="s">
        <v>41</v>
      </c>
      <c r="C564" s="74" t="s">
        <v>59</v>
      </c>
      <c r="D564" s="61"/>
      <c r="E564" s="69"/>
      <c r="F564" s="49"/>
      <c r="G564" s="75"/>
      <c r="I564" s="35"/>
      <c r="J564" s="30">
        <v>80.599999999999994</v>
      </c>
      <c r="K564" s="30"/>
    </row>
    <row r="565" spans="1:11" s="37" customFormat="1" ht="76.5" customHeight="1" x14ac:dyDescent="0.2">
      <c r="A565" s="77"/>
      <c r="B565" s="78" t="s">
        <v>305</v>
      </c>
      <c r="C565" s="84"/>
      <c r="D565" s="84"/>
      <c r="E565" s="84"/>
      <c r="F565" s="84"/>
      <c r="G565" s="129"/>
      <c r="I565" s="35"/>
      <c r="J565" s="44"/>
      <c r="K565" s="30"/>
    </row>
    <row r="566" spans="1:11" s="37" customFormat="1" ht="29.25" customHeight="1" x14ac:dyDescent="0.2">
      <c r="A566" s="77"/>
      <c r="B566" s="78" t="s">
        <v>303</v>
      </c>
      <c r="C566" s="84"/>
      <c r="D566" s="84"/>
      <c r="E566" s="84"/>
      <c r="F566" s="84"/>
      <c r="G566" s="129"/>
      <c r="I566" s="35"/>
      <c r="J566" s="30">
        <v>168.85</v>
      </c>
      <c r="K566" s="30"/>
    </row>
    <row r="567" spans="1:11" s="37" customFormat="1" ht="50.25" customHeight="1" x14ac:dyDescent="0.2">
      <c r="A567" s="77"/>
      <c r="B567" s="78" t="s">
        <v>304</v>
      </c>
      <c r="C567" s="84"/>
      <c r="D567" s="84"/>
      <c r="E567" s="84"/>
      <c r="F567" s="84"/>
      <c r="G567" s="129"/>
      <c r="I567" s="35"/>
      <c r="J567" s="44"/>
      <c r="K567" s="30"/>
    </row>
    <row r="568" spans="1:11" s="37" customFormat="1" ht="66.75" customHeight="1" x14ac:dyDescent="0.2">
      <c r="A568" s="378"/>
      <c r="B568" s="379" t="s">
        <v>169</v>
      </c>
      <c r="C568" s="380"/>
      <c r="D568" s="380"/>
      <c r="E568" s="380"/>
      <c r="F568" s="380"/>
      <c r="G568" s="381"/>
      <c r="I568" s="42"/>
      <c r="J568" s="30">
        <v>139</v>
      </c>
      <c r="K568" s="43"/>
    </row>
    <row r="569" spans="1:11" x14ac:dyDescent="0.2">
      <c r="A569" s="332" t="s">
        <v>160</v>
      </c>
      <c r="B569" s="333" t="s">
        <v>67</v>
      </c>
      <c r="C569" s="334"/>
      <c r="D569" s="335"/>
      <c r="E569" s="311"/>
      <c r="F569" s="216"/>
      <c r="G569" s="217"/>
      <c r="I569" s="30"/>
      <c r="J569" s="43"/>
      <c r="K569" s="30"/>
    </row>
    <row r="570" spans="1:11" ht="24" x14ac:dyDescent="0.2">
      <c r="A570" s="177"/>
      <c r="B570" s="382" t="s">
        <v>121</v>
      </c>
      <c r="C570" s="383" t="s">
        <v>152</v>
      </c>
      <c r="D570" s="180">
        <f>D373</f>
        <v>217.2</v>
      </c>
      <c r="E570" s="181"/>
      <c r="F570" s="182"/>
      <c r="G570" s="183">
        <f t="shared" ref="G570:G572" si="90">(D570*E570)+(D570*F570)</f>
        <v>0</v>
      </c>
      <c r="I570" s="30"/>
      <c r="J570" s="44"/>
      <c r="K570" s="30"/>
    </row>
    <row r="571" spans="1:11" ht="14.25" customHeight="1" x14ac:dyDescent="0.2">
      <c r="A571" s="177"/>
      <c r="B571" s="382" t="s">
        <v>122</v>
      </c>
      <c r="C571" s="383" t="s">
        <v>152</v>
      </c>
      <c r="D571" s="180">
        <f>D376</f>
        <v>435.34</v>
      </c>
      <c r="E571" s="181"/>
      <c r="F571" s="182"/>
      <c r="G571" s="183">
        <f t="shared" si="90"/>
        <v>0</v>
      </c>
      <c r="I571" s="30"/>
      <c r="J571" s="30">
        <v>143.19999999999999</v>
      </c>
      <c r="K571" s="30"/>
    </row>
    <row r="572" spans="1:11" ht="13.5" x14ac:dyDescent="0.2">
      <c r="A572" s="177"/>
      <c r="B572" s="382" t="s">
        <v>123</v>
      </c>
      <c r="C572" s="383" t="s">
        <v>152</v>
      </c>
      <c r="D572" s="180">
        <f>D416+D415+D419+D420+14.1</f>
        <v>113.69499999999999</v>
      </c>
      <c r="E572" s="181"/>
      <c r="F572" s="182"/>
      <c r="G572" s="183">
        <f t="shared" si="90"/>
        <v>0</v>
      </c>
      <c r="I572" s="30">
        <f>D441+D438+D446+14</f>
        <v>109.91499999999999</v>
      </c>
      <c r="J572" s="44"/>
      <c r="K572" s="30"/>
    </row>
    <row r="573" spans="1:11" x14ac:dyDescent="0.2">
      <c r="A573" s="177"/>
      <c r="B573" s="382"/>
      <c r="C573" s="383"/>
      <c r="D573" s="180"/>
      <c r="E573" s="181"/>
      <c r="F573" s="182"/>
      <c r="G573" s="183"/>
      <c r="I573" s="43"/>
      <c r="J573" s="30"/>
      <c r="K573" s="30"/>
    </row>
    <row r="574" spans="1:11" x14ac:dyDescent="0.2">
      <c r="A574" s="348" t="s">
        <v>161</v>
      </c>
      <c r="B574" s="349" t="s">
        <v>69</v>
      </c>
      <c r="C574" s="350"/>
      <c r="D574" s="351"/>
      <c r="E574" s="313"/>
      <c r="F574" s="221"/>
      <c r="G574" s="222"/>
      <c r="I574" s="30"/>
      <c r="J574" s="43"/>
      <c r="K574" s="30"/>
    </row>
    <row r="575" spans="1:11" ht="24" x14ac:dyDescent="0.2">
      <c r="A575" s="177"/>
      <c r="B575" s="382" t="s">
        <v>121</v>
      </c>
      <c r="C575" s="383" t="s">
        <v>152</v>
      </c>
      <c r="D575" s="180">
        <f>D380</f>
        <v>256.06</v>
      </c>
      <c r="E575" s="181"/>
      <c r="F575" s="182"/>
      <c r="G575" s="183">
        <f t="shared" ref="G575:G577" si="91">(D575*E575)+(D575*F575)</f>
        <v>0</v>
      </c>
      <c r="I575" s="30"/>
      <c r="J575" s="44"/>
      <c r="K575" s="30"/>
    </row>
    <row r="576" spans="1:11" ht="13.5" customHeight="1" x14ac:dyDescent="0.2">
      <c r="A576" s="177"/>
      <c r="B576" s="382" t="s">
        <v>122</v>
      </c>
      <c r="C576" s="383" t="s">
        <v>152</v>
      </c>
      <c r="D576" s="180">
        <f>D382</f>
        <v>458.38</v>
      </c>
      <c r="E576" s="181"/>
      <c r="F576" s="182"/>
      <c r="G576" s="183">
        <f t="shared" si="91"/>
        <v>0</v>
      </c>
      <c r="I576" s="30"/>
      <c r="J576" s="30">
        <v>143.19999999999999</v>
      </c>
      <c r="K576" s="30"/>
    </row>
    <row r="577" spans="1:11" ht="13.5" x14ac:dyDescent="0.2">
      <c r="A577" s="177"/>
      <c r="B577" s="382" t="s">
        <v>123</v>
      </c>
      <c r="C577" s="383" t="s">
        <v>152</v>
      </c>
      <c r="D577" s="180">
        <f>D545</f>
        <v>97.04</v>
      </c>
      <c r="E577" s="181"/>
      <c r="F577" s="182"/>
      <c r="G577" s="183">
        <f t="shared" si="91"/>
        <v>0</v>
      </c>
      <c r="I577" s="51">
        <f>D424+D425+D426+12.5</f>
        <v>92.1</v>
      </c>
      <c r="J577" s="44">
        <f>D544</f>
        <v>12.38</v>
      </c>
      <c r="K577" s="30"/>
    </row>
    <row r="578" spans="1:11" x14ac:dyDescent="0.2">
      <c r="A578" s="348" t="s">
        <v>57</v>
      </c>
      <c r="B578" s="349" t="s">
        <v>295</v>
      </c>
      <c r="C578" s="350"/>
      <c r="D578" s="351"/>
      <c r="E578" s="313"/>
      <c r="F578" s="221"/>
      <c r="G578" s="222"/>
      <c r="J578" s="30"/>
    </row>
    <row r="579" spans="1:11" ht="24" x14ac:dyDescent="0.2">
      <c r="A579" s="177"/>
      <c r="B579" s="382" t="s">
        <v>121</v>
      </c>
      <c r="C579" s="383" t="s">
        <v>152</v>
      </c>
      <c r="D579" s="180">
        <f>D386</f>
        <v>24.6</v>
      </c>
      <c r="E579" s="181"/>
      <c r="F579" s="182"/>
      <c r="G579" s="183">
        <f t="shared" ref="G579:G581" si="92">(D579*E579)+(D579*F579)</f>
        <v>0</v>
      </c>
      <c r="J579" s="30"/>
    </row>
    <row r="580" spans="1:11" ht="13.5" x14ac:dyDescent="0.2">
      <c r="A580" s="177"/>
      <c r="B580" s="382" t="s">
        <v>122</v>
      </c>
      <c r="C580" s="383" t="s">
        <v>152</v>
      </c>
      <c r="D580" s="180">
        <f>D388</f>
        <v>24.6</v>
      </c>
      <c r="E580" s="181"/>
      <c r="F580" s="182"/>
      <c r="G580" s="183">
        <f t="shared" si="92"/>
        <v>0</v>
      </c>
      <c r="J580" s="30"/>
    </row>
    <row r="581" spans="1:11" ht="13.5" x14ac:dyDescent="0.2">
      <c r="A581" s="177"/>
      <c r="B581" s="382" t="s">
        <v>368</v>
      </c>
      <c r="C581" s="383" t="s">
        <v>152</v>
      </c>
      <c r="D581" s="180">
        <f>D546</f>
        <v>40</v>
      </c>
      <c r="E581" s="181"/>
      <c r="F581" s="182"/>
      <c r="G581" s="183">
        <f t="shared" si="92"/>
        <v>0</v>
      </c>
      <c r="J581" s="30"/>
    </row>
    <row r="582" spans="1:11" x14ac:dyDescent="0.2">
      <c r="A582" s="177"/>
      <c r="B582" s="382"/>
      <c r="C582" s="383"/>
      <c r="D582" s="180"/>
      <c r="E582" s="181"/>
      <c r="F582" s="182"/>
      <c r="G582" s="183"/>
      <c r="J582" s="63"/>
    </row>
    <row r="583" spans="1:11" x14ac:dyDescent="0.2">
      <c r="A583" s="177"/>
      <c r="B583" s="382"/>
      <c r="C583" s="383"/>
      <c r="D583" s="180"/>
      <c r="E583" s="181"/>
      <c r="F583" s="182"/>
      <c r="G583" s="183"/>
      <c r="J583" s="63"/>
    </row>
    <row r="584" spans="1:11" x14ac:dyDescent="0.2">
      <c r="A584" s="177"/>
      <c r="B584" s="382"/>
      <c r="C584" s="383"/>
      <c r="D584" s="180"/>
      <c r="E584" s="181"/>
      <c r="F584" s="182"/>
      <c r="G584" s="183"/>
      <c r="J584" s="63"/>
    </row>
    <row r="585" spans="1:11" x14ac:dyDescent="0.2">
      <c r="A585" s="177"/>
      <c r="B585" s="382"/>
      <c r="C585" s="383"/>
      <c r="D585" s="180"/>
      <c r="E585" s="181"/>
      <c r="F585" s="182"/>
      <c r="G585" s="183"/>
      <c r="J585" s="63"/>
    </row>
    <row r="586" spans="1:11" x14ac:dyDescent="0.2">
      <c r="A586" s="177"/>
      <c r="B586" s="382"/>
      <c r="C586" s="383"/>
      <c r="D586" s="180"/>
      <c r="E586" s="181"/>
      <c r="F586" s="182"/>
      <c r="G586" s="183"/>
      <c r="J586" s="63"/>
    </row>
    <row r="587" spans="1:11" x14ac:dyDescent="0.2">
      <c r="A587" s="177"/>
      <c r="B587" s="382"/>
      <c r="C587" s="383"/>
      <c r="D587" s="180"/>
      <c r="E587" s="181"/>
      <c r="F587" s="182"/>
      <c r="G587" s="183"/>
      <c r="J587" s="63"/>
    </row>
    <row r="588" spans="1:11" x14ac:dyDescent="0.2">
      <c r="A588" s="177"/>
      <c r="B588" s="382"/>
      <c r="C588" s="383"/>
      <c r="D588" s="180"/>
      <c r="E588" s="181"/>
      <c r="F588" s="182"/>
      <c r="G588" s="183"/>
      <c r="J588" s="63"/>
    </row>
    <row r="589" spans="1:11" x14ac:dyDescent="0.2">
      <c r="A589" s="177"/>
      <c r="B589" s="382"/>
      <c r="C589" s="383"/>
      <c r="D589" s="180"/>
      <c r="E589" s="181"/>
      <c r="F589" s="182"/>
      <c r="G589" s="183"/>
      <c r="J589" s="63"/>
    </row>
    <row r="590" spans="1:11" x14ac:dyDescent="0.2">
      <c r="A590" s="177"/>
      <c r="B590" s="382"/>
      <c r="C590" s="383"/>
      <c r="D590" s="180"/>
      <c r="E590" s="181"/>
      <c r="F590" s="182"/>
      <c r="G590" s="183"/>
      <c r="J590" s="63"/>
    </row>
    <row r="591" spans="1:11" x14ac:dyDescent="0.2">
      <c r="A591" s="177"/>
      <c r="B591" s="382"/>
      <c r="C591" s="383"/>
      <c r="D591" s="180"/>
      <c r="E591" s="181"/>
      <c r="F591" s="182"/>
      <c r="G591" s="183"/>
      <c r="J591" s="63"/>
    </row>
    <row r="592" spans="1:11" x14ac:dyDescent="0.2">
      <c r="A592" s="177"/>
      <c r="B592" s="382"/>
      <c r="C592" s="383"/>
      <c r="D592" s="180"/>
      <c r="E592" s="181"/>
      <c r="F592" s="182"/>
      <c r="G592" s="183"/>
      <c r="J592" s="63"/>
    </row>
    <row r="593" spans="1:10" x14ac:dyDescent="0.2">
      <c r="A593" s="177"/>
      <c r="B593" s="382"/>
      <c r="C593" s="383"/>
      <c r="D593" s="180"/>
      <c r="E593" s="181"/>
      <c r="F593" s="182"/>
      <c r="G593" s="183"/>
      <c r="J593" s="63"/>
    </row>
    <row r="594" spans="1:10" x14ac:dyDescent="0.2">
      <c r="A594" s="177"/>
      <c r="B594" s="382"/>
      <c r="C594" s="383"/>
      <c r="D594" s="180"/>
      <c r="E594" s="181"/>
      <c r="F594" s="182"/>
      <c r="G594" s="183"/>
      <c r="J594" s="63"/>
    </row>
    <row r="595" spans="1:10" x14ac:dyDescent="0.2">
      <c r="A595" s="177"/>
      <c r="B595" s="382"/>
      <c r="C595" s="383"/>
      <c r="D595" s="180"/>
      <c r="E595" s="181"/>
      <c r="F595" s="182"/>
      <c r="G595" s="183"/>
      <c r="J595" s="63"/>
    </row>
    <row r="596" spans="1:10" x14ac:dyDescent="0.2">
      <c r="A596" s="177"/>
      <c r="B596" s="382"/>
      <c r="C596" s="383"/>
      <c r="D596" s="180"/>
      <c r="E596" s="181"/>
      <c r="F596" s="182"/>
      <c r="G596" s="183"/>
      <c r="J596" s="63"/>
    </row>
    <row r="597" spans="1:10" x14ac:dyDescent="0.2">
      <c r="A597" s="177"/>
      <c r="B597" s="382"/>
      <c r="C597" s="383"/>
      <c r="D597" s="180"/>
      <c r="E597" s="181"/>
      <c r="F597" s="182"/>
      <c r="G597" s="183"/>
      <c r="J597" s="63"/>
    </row>
    <row r="598" spans="1:10" ht="12.75" thickBot="1" x14ac:dyDescent="0.25">
      <c r="A598" s="177"/>
      <c r="B598" s="382"/>
      <c r="C598" s="383"/>
      <c r="D598" s="180"/>
      <c r="E598" s="181"/>
      <c r="F598" s="182"/>
      <c r="G598" s="183"/>
      <c r="J598" s="63"/>
    </row>
    <row r="599" spans="1:10" x14ac:dyDescent="0.2">
      <c r="A599" s="153"/>
      <c r="B599" s="154" t="s">
        <v>210</v>
      </c>
      <c r="C599" s="166"/>
      <c r="D599" s="156"/>
      <c r="E599" s="157"/>
      <c r="F599" s="275"/>
      <c r="G599" s="211"/>
    </row>
    <row r="600" spans="1:10" ht="12.75" thickBot="1" x14ac:dyDescent="0.25">
      <c r="A600" s="159"/>
      <c r="B600" s="142" t="s">
        <v>118</v>
      </c>
      <c r="C600" s="167"/>
      <c r="D600" s="161"/>
      <c r="E600" s="162"/>
      <c r="F600" s="276"/>
      <c r="G600" s="212">
        <f>SUM(G570:G577)</f>
        <v>0</v>
      </c>
    </row>
    <row r="601" spans="1:10" x14ac:dyDescent="0.2">
      <c r="A601" s="153"/>
      <c r="B601" s="154"/>
      <c r="C601" s="166"/>
      <c r="D601" s="156"/>
      <c r="E601" s="157"/>
      <c r="F601" s="209"/>
      <c r="G601" s="470"/>
    </row>
    <row r="602" spans="1:10" x14ac:dyDescent="0.2">
      <c r="A602" s="65"/>
      <c r="B602" s="100" t="s">
        <v>119</v>
      </c>
      <c r="C602" s="74"/>
      <c r="D602" s="61"/>
      <c r="E602" s="69"/>
      <c r="F602" s="49"/>
      <c r="G602" s="75"/>
    </row>
    <row r="603" spans="1:10" x14ac:dyDescent="0.2">
      <c r="A603" s="65"/>
      <c r="B603" s="66" t="s">
        <v>96</v>
      </c>
      <c r="C603" s="74"/>
      <c r="D603" s="61"/>
      <c r="E603" s="69"/>
      <c r="F603" s="49"/>
      <c r="G603" s="75"/>
    </row>
    <row r="604" spans="1:10" x14ac:dyDescent="0.2">
      <c r="A604" s="101" t="s">
        <v>120</v>
      </c>
      <c r="B604" s="80" t="s">
        <v>41</v>
      </c>
      <c r="C604" s="74"/>
      <c r="D604" s="61"/>
      <c r="E604" s="69"/>
      <c r="F604" s="49"/>
      <c r="G604" s="75"/>
    </row>
    <row r="605" spans="1:10" s="37" customFormat="1" ht="53.25" customHeight="1" x14ac:dyDescent="0.25">
      <c r="A605" s="378"/>
      <c r="B605" s="379" t="s">
        <v>149</v>
      </c>
      <c r="C605" s="379"/>
      <c r="D605" s="379"/>
      <c r="E605" s="379"/>
      <c r="F605" s="379"/>
      <c r="G605" s="384"/>
    </row>
    <row r="606" spans="1:10" x14ac:dyDescent="0.2">
      <c r="A606" s="385" t="s">
        <v>185</v>
      </c>
      <c r="B606" s="386" t="s">
        <v>127</v>
      </c>
      <c r="C606" s="387"/>
      <c r="D606" s="388"/>
      <c r="E606" s="389"/>
      <c r="F606" s="388"/>
      <c r="G606" s="390"/>
    </row>
    <row r="607" spans="1:10" x14ac:dyDescent="0.2">
      <c r="A607" s="348" t="s">
        <v>160</v>
      </c>
      <c r="B607" s="391" t="s">
        <v>67</v>
      </c>
      <c r="C607" s="392"/>
      <c r="D607" s="351"/>
      <c r="E607" s="313"/>
      <c r="F607" s="351"/>
      <c r="G607" s="393"/>
    </row>
    <row r="608" spans="1:10" x14ac:dyDescent="0.2">
      <c r="A608" s="394" t="s">
        <v>177</v>
      </c>
      <c r="B608" s="395" t="s">
        <v>287</v>
      </c>
      <c r="C608" s="396" t="s">
        <v>113</v>
      </c>
      <c r="D608" s="397"/>
      <c r="E608" s="398"/>
      <c r="F608" s="193"/>
      <c r="G608" s="194"/>
    </row>
    <row r="609" spans="1:10" ht="25.5" customHeight="1" x14ac:dyDescent="0.2">
      <c r="A609" s="352"/>
      <c r="B609" s="344" t="s">
        <v>408</v>
      </c>
      <c r="C609" s="345" t="s">
        <v>128</v>
      </c>
      <c r="D609" s="180">
        <v>7.4</v>
      </c>
      <c r="E609" s="181"/>
      <c r="F609" s="182"/>
      <c r="G609" s="183">
        <f>(D609*E609)+(D609*F609)</f>
        <v>0</v>
      </c>
    </row>
    <row r="610" spans="1:10" ht="36" customHeight="1" x14ac:dyDescent="0.2">
      <c r="A610" s="352"/>
      <c r="B610" s="344" t="s">
        <v>409</v>
      </c>
      <c r="C610" s="345" t="s">
        <v>128</v>
      </c>
      <c r="D610" s="180">
        <v>15</v>
      </c>
      <c r="E610" s="181"/>
      <c r="F610" s="182"/>
      <c r="G610" s="183">
        <f>(D610*E610)+(D610*F610)</f>
        <v>0</v>
      </c>
      <c r="I610" s="22">
        <f>3.6*4</f>
        <v>14.4</v>
      </c>
    </row>
    <row r="611" spans="1:10" x14ac:dyDescent="0.2">
      <c r="A611" s="348" t="s">
        <v>161</v>
      </c>
      <c r="B611" s="391" t="s">
        <v>69</v>
      </c>
      <c r="C611" s="392"/>
      <c r="D611" s="351"/>
      <c r="E611" s="313"/>
      <c r="F611" s="351"/>
      <c r="G611" s="393"/>
    </row>
    <row r="612" spans="1:10" ht="11.25" customHeight="1" x14ac:dyDescent="0.2">
      <c r="A612" s="394" t="s">
        <v>177</v>
      </c>
      <c r="B612" s="395" t="s">
        <v>367</v>
      </c>
      <c r="C612" s="396" t="s">
        <v>113</v>
      </c>
      <c r="D612" s="397"/>
      <c r="E612" s="398"/>
      <c r="F612" s="193"/>
      <c r="G612" s="194"/>
    </row>
    <row r="613" spans="1:10" ht="25.5" customHeight="1" x14ac:dyDescent="0.2">
      <c r="A613" s="352"/>
      <c r="B613" s="344" t="s">
        <v>487</v>
      </c>
      <c r="C613" s="345" t="s">
        <v>128</v>
      </c>
      <c r="D613" s="180">
        <v>27.6</v>
      </c>
      <c r="E613" s="181"/>
      <c r="F613" s="182"/>
      <c r="G613" s="183">
        <f>(D613*E613)+(D613*F613)</f>
        <v>0</v>
      </c>
    </row>
    <row r="614" spans="1:10" x14ac:dyDescent="0.2">
      <c r="A614" s="263" t="s">
        <v>185</v>
      </c>
      <c r="B614" s="399" t="s">
        <v>370</v>
      </c>
      <c r="C614" s="265"/>
      <c r="D614" s="266"/>
      <c r="E614" s="267"/>
      <c r="F614" s="266"/>
      <c r="G614" s="268"/>
    </row>
    <row r="615" spans="1:10" ht="48" customHeight="1" x14ac:dyDescent="0.2">
      <c r="A615" s="177" t="s">
        <v>177</v>
      </c>
      <c r="B615" s="344" t="s">
        <v>476</v>
      </c>
      <c r="C615" s="345"/>
      <c r="D615" s="180"/>
      <c r="E615" s="181"/>
      <c r="F615" s="182"/>
      <c r="G615" s="183">
        <f t="shared" ref="G615:G618" si="93">(D615*E615)+(D615*F615)</f>
        <v>0</v>
      </c>
    </row>
    <row r="616" spans="1:10" x14ac:dyDescent="0.2">
      <c r="A616" s="352"/>
      <c r="B616" s="344" t="s">
        <v>369</v>
      </c>
      <c r="C616" s="345" t="s">
        <v>113</v>
      </c>
      <c r="D616" s="180">
        <v>18</v>
      </c>
      <c r="E616" s="181"/>
      <c r="F616" s="182"/>
      <c r="G616" s="183">
        <f t="shared" si="93"/>
        <v>0</v>
      </c>
    </row>
    <row r="617" spans="1:10" ht="36" x14ac:dyDescent="0.2">
      <c r="A617" s="177" t="s">
        <v>178</v>
      </c>
      <c r="B617" s="344" t="s">
        <v>388</v>
      </c>
      <c r="C617" s="345" t="s">
        <v>371</v>
      </c>
      <c r="D617" s="180">
        <v>25.8</v>
      </c>
      <c r="E617" s="181"/>
      <c r="F617" s="182"/>
      <c r="G617" s="183">
        <f t="shared" si="93"/>
        <v>0</v>
      </c>
    </row>
    <row r="618" spans="1:10" ht="24" x14ac:dyDescent="0.2">
      <c r="A618" s="177" t="s">
        <v>372</v>
      </c>
      <c r="B618" s="344" t="s">
        <v>380</v>
      </c>
      <c r="C618" s="345" t="s">
        <v>371</v>
      </c>
      <c r="D618" s="180">
        <v>433.5</v>
      </c>
      <c r="E618" s="181"/>
      <c r="F618" s="182"/>
      <c r="G618" s="183">
        <f t="shared" si="93"/>
        <v>0</v>
      </c>
      <c r="I618" s="22">
        <f>25.8*8*2</f>
        <v>412.8</v>
      </c>
      <c r="J618" s="22">
        <f>I618*105%</f>
        <v>433.44000000000005</v>
      </c>
    </row>
    <row r="619" spans="1:10" ht="24" x14ac:dyDescent="0.2">
      <c r="A619" s="177" t="s">
        <v>373</v>
      </c>
      <c r="B619" s="344" t="s">
        <v>379</v>
      </c>
      <c r="C619" s="383" t="s">
        <v>152</v>
      </c>
      <c r="D619" s="180">
        <v>341.6</v>
      </c>
      <c r="E619" s="181"/>
      <c r="F619" s="182"/>
      <c r="G619" s="183">
        <f t="shared" ref="G619" si="94">(D619*E619)+(D619*F619)</f>
        <v>0</v>
      </c>
    </row>
    <row r="620" spans="1:10" ht="24" x14ac:dyDescent="0.2">
      <c r="A620" s="177" t="s">
        <v>375</v>
      </c>
      <c r="B620" s="344" t="s">
        <v>374</v>
      </c>
      <c r="C620" s="383" t="s">
        <v>152</v>
      </c>
      <c r="D620" s="180">
        <f>D619</f>
        <v>341.6</v>
      </c>
      <c r="E620" s="181"/>
      <c r="F620" s="182"/>
      <c r="G620" s="183">
        <f t="shared" ref="G620" si="95">(D620*E620)+(D620*F620)</f>
        <v>0</v>
      </c>
    </row>
    <row r="621" spans="1:10" ht="24" x14ac:dyDescent="0.2">
      <c r="A621" s="177" t="s">
        <v>376</v>
      </c>
      <c r="B621" s="344" t="s">
        <v>377</v>
      </c>
      <c r="C621" s="383" t="s">
        <v>152</v>
      </c>
      <c r="D621" s="180">
        <f>D619</f>
        <v>341.6</v>
      </c>
      <c r="E621" s="181"/>
      <c r="F621" s="182"/>
      <c r="G621" s="183">
        <f t="shared" ref="G621" si="96">(D621*E621)+(D621*F621)</f>
        <v>0</v>
      </c>
    </row>
    <row r="622" spans="1:10" ht="24" x14ac:dyDescent="0.2">
      <c r="A622" s="177" t="s">
        <v>378</v>
      </c>
      <c r="B622" s="344" t="s">
        <v>381</v>
      </c>
      <c r="C622" s="383" t="s">
        <v>382</v>
      </c>
      <c r="D622" s="180">
        <v>26</v>
      </c>
      <c r="E622" s="181"/>
      <c r="F622" s="182"/>
      <c r="G622" s="183">
        <f t="shared" ref="G622" si="97">(D622*E622)+(D622*F622)</f>
        <v>0</v>
      </c>
    </row>
    <row r="623" spans="1:10" ht="24" x14ac:dyDescent="0.2">
      <c r="A623" s="177" t="s">
        <v>196</v>
      </c>
      <c r="B623" s="344" t="s">
        <v>383</v>
      </c>
      <c r="C623" s="383" t="s">
        <v>382</v>
      </c>
      <c r="D623" s="180">
        <v>27</v>
      </c>
      <c r="E623" s="181"/>
      <c r="F623" s="182"/>
      <c r="G623" s="183">
        <f t="shared" ref="G623" si="98">(D623*E623)+(D623*F623)</f>
        <v>0</v>
      </c>
      <c r="I623" s="22">
        <f>6.7*4</f>
        <v>26.8</v>
      </c>
    </row>
    <row r="624" spans="1:10" ht="24" x14ac:dyDescent="0.2">
      <c r="A624" s="177" t="s">
        <v>197</v>
      </c>
      <c r="B624" s="344" t="s">
        <v>384</v>
      </c>
      <c r="C624" s="383" t="s">
        <v>382</v>
      </c>
      <c r="D624" s="180">
        <v>52</v>
      </c>
      <c r="E624" s="181"/>
      <c r="F624" s="182"/>
      <c r="G624" s="183">
        <f t="shared" ref="G624" si="99">(D624*E624)+(D624*F624)</f>
        <v>0</v>
      </c>
      <c r="I624" s="22">
        <f>25.8*2</f>
        <v>51.6</v>
      </c>
    </row>
    <row r="625" spans="1:7" x14ac:dyDescent="0.2">
      <c r="A625" s="177"/>
      <c r="B625" s="344"/>
      <c r="C625" s="383"/>
      <c r="D625" s="180"/>
      <c r="E625" s="181"/>
      <c r="F625" s="182"/>
      <c r="G625" s="183"/>
    </row>
    <row r="626" spans="1:7" x14ac:dyDescent="0.2">
      <c r="A626" s="177"/>
      <c r="B626" s="344"/>
      <c r="C626" s="383"/>
      <c r="D626" s="180"/>
      <c r="E626" s="181"/>
      <c r="F626" s="182"/>
      <c r="G626" s="183"/>
    </row>
    <row r="627" spans="1:7" x14ac:dyDescent="0.2">
      <c r="A627" s="177"/>
      <c r="B627" s="344"/>
      <c r="C627" s="383"/>
      <c r="D627" s="180"/>
      <c r="E627" s="181"/>
      <c r="F627" s="182"/>
      <c r="G627" s="183"/>
    </row>
    <row r="628" spans="1:7" x14ac:dyDescent="0.2">
      <c r="A628" s="177"/>
      <c r="B628" s="344"/>
      <c r="C628" s="383"/>
      <c r="D628" s="180"/>
      <c r="E628" s="181"/>
      <c r="F628" s="182"/>
      <c r="G628" s="183"/>
    </row>
    <row r="629" spans="1:7" x14ac:dyDescent="0.2">
      <c r="A629" s="177"/>
      <c r="B629" s="344"/>
      <c r="C629" s="383"/>
      <c r="D629" s="180"/>
      <c r="E629" s="181"/>
      <c r="F629" s="182"/>
      <c r="G629" s="183"/>
    </row>
    <row r="630" spans="1:7" x14ac:dyDescent="0.2">
      <c r="A630" s="177"/>
      <c r="B630" s="344"/>
      <c r="C630" s="383"/>
      <c r="D630" s="180"/>
      <c r="E630" s="181"/>
      <c r="F630" s="182"/>
      <c r="G630" s="183"/>
    </row>
    <row r="631" spans="1:7" x14ac:dyDescent="0.2">
      <c r="A631" s="177"/>
      <c r="B631" s="344"/>
      <c r="C631" s="383"/>
      <c r="D631" s="180"/>
      <c r="E631" s="181"/>
      <c r="F631" s="182"/>
      <c r="G631" s="183"/>
    </row>
    <row r="632" spans="1:7" x14ac:dyDescent="0.2">
      <c r="A632" s="177"/>
      <c r="B632" s="344"/>
      <c r="C632" s="383"/>
      <c r="D632" s="180"/>
      <c r="E632" s="181"/>
      <c r="F632" s="182"/>
      <c r="G632" s="183"/>
    </row>
    <row r="633" spans="1:7" x14ac:dyDescent="0.2">
      <c r="A633" s="177"/>
      <c r="B633" s="344"/>
      <c r="C633" s="383"/>
      <c r="D633" s="180"/>
      <c r="E633" s="181"/>
      <c r="F633" s="182"/>
      <c r="G633" s="183"/>
    </row>
    <row r="634" spans="1:7" x14ac:dyDescent="0.2">
      <c r="A634" s="177"/>
      <c r="B634" s="344"/>
      <c r="C634" s="383"/>
      <c r="D634" s="180"/>
      <c r="E634" s="181"/>
      <c r="F634" s="182"/>
      <c r="G634" s="183"/>
    </row>
    <row r="635" spans="1:7" x14ac:dyDescent="0.2">
      <c r="A635" s="177"/>
      <c r="B635" s="344"/>
      <c r="C635" s="383"/>
      <c r="D635" s="180"/>
      <c r="E635" s="181"/>
      <c r="F635" s="182"/>
      <c r="G635" s="183"/>
    </row>
    <row r="636" spans="1:7" x14ac:dyDescent="0.2">
      <c r="A636" s="177"/>
      <c r="B636" s="344"/>
      <c r="C636" s="383"/>
      <c r="D636" s="180"/>
      <c r="E636" s="181"/>
      <c r="F636" s="182"/>
      <c r="G636" s="183"/>
    </row>
    <row r="637" spans="1:7" ht="12.75" thickBot="1" x14ac:dyDescent="0.25">
      <c r="A637" s="177"/>
      <c r="B637" s="344"/>
      <c r="C637" s="383"/>
      <c r="D637" s="180"/>
      <c r="E637" s="181"/>
      <c r="F637" s="182"/>
      <c r="G637" s="183"/>
    </row>
    <row r="638" spans="1:7" x14ac:dyDescent="0.2">
      <c r="A638" s="357"/>
      <c r="B638" s="154" t="s">
        <v>211</v>
      </c>
      <c r="C638" s="166"/>
      <c r="D638" s="156"/>
      <c r="E638" s="157"/>
      <c r="F638" s="275"/>
      <c r="G638" s="210"/>
    </row>
    <row r="639" spans="1:7" ht="12.75" thickBot="1" x14ac:dyDescent="0.25">
      <c r="A639" s="360"/>
      <c r="B639" s="142" t="s">
        <v>124</v>
      </c>
      <c r="C639" s="167"/>
      <c r="D639" s="161"/>
      <c r="E639" s="162"/>
      <c r="F639" s="276"/>
      <c r="G639" s="146">
        <f>SUM(G609:G638)</f>
        <v>0</v>
      </c>
    </row>
    <row r="640" spans="1:7" x14ac:dyDescent="0.2">
      <c r="A640" s="101"/>
      <c r="B640" s="79"/>
      <c r="C640" s="74"/>
      <c r="D640" s="61"/>
      <c r="E640" s="69"/>
      <c r="F640" s="49"/>
      <c r="G640" s="93"/>
    </row>
    <row r="641" spans="1:7" s="104" customFormat="1" x14ac:dyDescent="0.2">
      <c r="A641" s="101"/>
      <c r="B641" s="79"/>
      <c r="C641" s="74"/>
      <c r="D641" s="61"/>
      <c r="E641" s="69"/>
      <c r="F641" s="49"/>
      <c r="G641" s="93"/>
    </row>
    <row r="642" spans="1:7" x14ac:dyDescent="0.2">
      <c r="A642" s="65"/>
      <c r="B642" s="100" t="s">
        <v>125</v>
      </c>
      <c r="C642" s="74"/>
      <c r="D642" s="61"/>
      <c r="E642" s="69"/>
      <c r="F642" s="49"/>
      <c r="G642" s="75"/>
    </row>
    <row r="643" spans="1:7" x14ac:dyDescent="0.2">
      <c r="A643" s="65"/>
      <c r="B643" s="66" t="s">
        <v>131</v>
      </c>
      <c r="C643" s="74"/>
      <c r="D643" s="61"/>
      <c r="E643" s="69"/>
      <c r="F643" s="49"/>
      <c r="G643" s="75"/>
    </row>
    <row r="644" spans="1:7" x14ac:dyDescent="0.2">
      <c r="A644" s="101" t="s">
        <v>126</v>
      </c>
      <c r="B644" s="80" t="s">
        <v>41</v>
      </c>
      <c r="C644" s="74"/>
      <c r="D644" s="61"/>
      <c r="E644" s="69"/>
      <c r="F644" s="49"/>
      <c r="G644" s="75"/>
    </row>
    <row r="645" spans="1:7" ht="36" customHeight="1" x14ac:dyDescent="0.2">
      <c r="A645" s="65"/>
      <c r="B645" s="76" t="s">
        <v>172</v>
      </c>
      <c r="C645" s="102"/>
      <c r="D645" s="102"/>
      <c r="E645" s="102"/>
      <c r="F645" s="102"/>
      <c r="G645" s="103"/>
    </row>
    <row r="646" spans="1:7" ht="51" customHeight="1" x14ac:dyDescent="0.2">
      <c r="A646" s="81"/>
      <c r="B646" s="76" t="s">
        <v>171</v>
      </c>
      <c r="C646" s="102"/>
      <c r="D646" s="102"/>
      <c r="E646" s="102"/>
      <c r="F646" s="102"/>
      <c r="G646" s="103"/>
    </row>
    <row r="647" spans="1:7" ht="26.25" customHeight="1" x14ac:dyDescent="0.2">
      <c r="A647" s="65"/>
      <c r="B647" s="76" t="s">
        <v>285</v>
      </c>
      <c r="C647" s="102"/>
      <c r="D647" s="102"/>
      <c r="E647" s="102"/>
      <c r="F647" s="102"/>
      <c r="G647" s="103"/>
    </row>
    <row r="648" spans="1:7" ht="36.75" customHeight="1" x14ac:dyDescent="0.2">
      <c r="A648" s="65"/>
      <c r="B648" s="76" t="s">
        <v>170</v>
      </c>
      <c r="C648" s="102"/>
      <c r="D648" s="102"/>
      <c r="E648" s="102"/>
      <c r="F648" s="102"/>
      <c r="G648" s="103"/>
    </row>
    <row r="649" spans="1:7" ht="29.25" customHeight="1" thickBot="1" x14ac:dyDescent="0.25">
      <c r="A649" s="159"/>
      <c r="B649" s="400" t="s">
        <v>286</v>
      </c>
      <c r="C649" s="401"/>
      <c r="D649" s="401"/>
      <c r="E649" s="401"/>
      <c r="F649" s="401"/>
      <c r="G649" s="402"/>
    </row>
    <row r="650" spans="1:7" x14ac:dyDescent="0.2">
      <c r="A650" s="403" t="s">
        <v>160</v>
      </c>
      <c r="B650" s="404" t="s">
        <v>67</v>
      </c>
      <c r="C650" s="405"/>
      <c r="D650" s="406"/>
      <c r="E650" s="407"/>
      <c r="F650" s="408"/>
      <c r="G650" s="409">
        <f>D650*E650</f>
        <v>0</v>
      </c>
    </row>
    <row r="651" spans="1:7" x14ac:dyDescent="0.2">
      <c r="A651" s="410" t="s">
        <v>177</v>
      </c>
      <c r="B651" s="411" t="s">
        <v>133</v>
      </c>
      <c r="C651" s="412"/>
      <c r="D651" s="413"/>
      <c r="E651" s="414"/>
      <c r="F651" s="415"/>
      <c r="G651" s="416"/>
    </row>
    <row r="652" spans="1:7" x14ac:dyDescent="0.2">
      <c r="A652" s="417" t="s">
        <v>201</v>
      </c>
      <c r="B652" s="239" t="s">
        <v>226</v>
      </c>
      <c r="C652" s="376" t="s">
        <v>15</v>
      </c>
      <c r="D652" s="240">
        <v>1</v>
      </c>
      <c r="E652" s="181"/>
      <c r="F652" s="182"/>
      <c r="G652" s="183">
        <f>(D652*E652)+(D652*F652)</f>
        <v>0</v>
      </c>
    </row>
    <row r="653" spans="1:7" ht="27" customHeight="1" x14ac:dyDescent="0.2">
      <c r="A653" s="417" t="s">
        <v>202</v>
      </c>
      <c r="B653" s="239" t="s">
        <v>227</v>
      </c>
      <c r="C653" s="376" t="s">
        <v>15</v>
      </c>
      <c r="D653" s="240">
        <v>1</v>
      </c>
      <c r="E653" s="181"/>
      <c r="F653" s="182"/>
      <c r="G653" s="183">
        <f>(D653*E653)+(D653*F653)</f>
        <v>0</v>
      </c>
    </row>
    <row r="654" spans="1:7" ht="36" x14ac:dyDescent="0.2">
      <c r="A654" s="417" t="s">
        <v>204</v>
      </c>
      <c r="B654" s="239" t="s">
        <v>266</v>
      </c>
      <c r="C654" s="376" t="s">
        <v>113</v>
      </c>
      <c r="D654" s="240">
        <v>1</v>
      </c>
      <c r="E654" s="181"/>
      <c r="F654" s="182"/>
      <c r="G654" s="183">
        <f>(D654*E654)+(D654*F654)</f>
        <v>0</v>
      </c>
    </row>
    <row r="655" spans="1:7" x14ac:dyDescent="0.2">
      <c r="A655" s="410" t="s">
        <v>178</v>
      </c>
      <c r="B655" s="418" t="s">
        <v>134</v>
      </c>
      <c r="C655" s="412"/>
      <c r="D655" s="413"/>
      <c r="E655" s="414"/>
      <c r="F655" s="419"/>
      <c r="G655" s="420">
        <f>D655*E655</f>
        <v>0</v>
      </c>
    </row>
    <row r="656" spans="1:7" x14ac:dyDescent="0.2">
      <c r="A656" s="417" t="s">
        <v>177</v>
      </c>
      <c r="B656" s="239" t="s">
        <v>135</v>
      </c>
      <c r="C656" s="376" t="s">
        <v>113</v>
      </c>
      <c r="D656" s="240">
        <v>3</v>
      </c>
      <c r="E656" s="181"/>
      <c r="F656" s="182"/>
      <c r="G656" s="183">
        <f>(D656*E656)+(D656*F656)</f>
        <v>0</v>
      </c>
    </row>
    <row r="657" spans="1:10" x14ac:dyDescent="0.2">
      <c r="A657" s="417" t="s">
        <v>178</v>
      </c>
      <c r="B657" s="239" t="s">
        <v>228</v>
      </c>
      <c r="C657" s="376" t="s">
        <v>113</v>
      </c>
      <c r="D657" s="240">
        <v>1</v>
      </c>
      <c r="E657" s="181"/>
      <c r="F657" s="182"/>
      <c r="G657" s="183">
        <f t="shared" ref="G657:G669" si="100">(D657*E657)+(D657*F657)</f>
        <v>0</v>
      </c>
    </row>
    <row r="658" spans="1:10" x14ac:dyDescent="0.2">
      <c r="A658" s="417" t="s">
        <v>191</v>
      </c>
      <c r="B658" s="239" t="s">
        <v>136</v>
      </c>
      <c r="C658" s="376" t="s">
        <v>113</v>
      </c>
      <c r="D658" s="240">
        <v>1</v>
      </c>
      <c r="E658" s="181"/>
      <c r="F658" s="182"/>
      <c r="G658" s="183">
        <f t="shared" si="100"/>
        <v>0</v>
      </c>
    </row>
    <row r="659" spans="1:10" x14ac:dyDescent="0.2">
      <c r="A659" s="417" t="s">
        <v>192</v>
      </c>
      <c r="B659" s="239" t="s">
        <v>137</v>
      </c>
      <c r="C659" s="376" t="s">
        <v>113</v>
      </c>
      <c r="D659" s="240">
        <f>D656</f>
        <v>3</v>
      </c>
      <c r="E659" s="181"/>
      <c r="F659" s="182"/>
      <c r="G659" s="183">
        <f t="shared" si="100"/>
        <v>0</v>
      </c>
    </row>
    <row r="660" spans="1:10" x14ac:dyDescent="0.2">
      <c r="A660" s="417" t="s">
        <v>193</v>
      </c>
      <c r="B660" s="239" t="s">
        <v>138</v>
      </c>
      <c r="C660" s="376" t="s">
        <v>113</v>
      </c>
      <c r="D660" s="240">
        <f>D656</f>
        <v>3</v>
      </c>
      <c r="E660" s="181"/>
      <c r="F660" s="182"/>
      <c r="G660" s="183">
        <f t="shared" si="100"/>
        <v>0</v>
      </c>
    </row>
    <row r="661" spans="1:10" x14ac:dyDescent="0.2">
      <c r="A661" s="417" t="s">
        <v>194</v>
      </c>
      <c r="B661" s="239" t="s">
        <v>139</v>
      </c>
      <c r="C661" s="376" t="s">
        <v>113</v>
      </c>
      <c r="D661" s="240">
        <f>D656</f>
        <v>3</v>
      </c>
      <c r="E661" s="181"/>
      <c r="F661" s="182"/>
      <c r="G661" s="183">
        <f t="shared" si="100"/>
        <v>0</v>
      </c>
    </row>
    <row r="662" spans="1:10" x14ac:dyDescent="0.2">
      <c r="A662" s="417" t="s">
        <v>195</v>
      </c>
      <c r="B662" s="239" t="s">
        <v>486</v>
      </c>
      <c r="C662" s="376" t="s">
        <v>113</v>
      </c>
      <c r="D662" s="240">
        <v>5</v>
      </c>
      <c r="E662" s="181"/>
      <c r="F662" s="182"/>
      <c r="G662" s="183">
        <f t="shared" si="100"/>
        <v>0</v>
      </c>
    </row>
    <row r="663" spans="1:10" x14ac:dyDescent="0.2">
      <c r="A663" s="417" t="s">
        <v>196</v>
      </c>
      <c r="B663" s="239" t="s">
        <v>229</v>
      </c>
      <c r="C663" s="376" t="s">
        <v>113</v>
      </c>
      <c r="D663" s="240">
        <f>D656</f>
        <v>3</v>
      </c>
      <c r="E663" s="181"/>
      <c r="F663" s="182"/>
      <c r="G663" s="183">
        <f t="shared" si="100"/>
        <v>0</v>
      </c>
    </row>
    <row r="664" spans="1:10" x14ac:dyDescent="0.2">
      <c r="A664" s="417" t="s">
        <v>197</v>
      </c>
      <c r="B664" s="239" t="s">
        <v>282</v>
      </c>
      <c r="C664" s="376" t="s">
        <v>113</v>
      </c>
      <c r="D664" s="240">
        <v>4</v>
      </c>
      <c r="E664" s="181"/>
      <c r="F664" s="182"/>
      <c r="G664" s="183">
        <f t="shared" si="100"/>
        <v>0</v>
      </c>
    </row>
    <row r="665" spans="1:10" x14ac:dyDescent="0.2">
      <c r="A665" s="417" t="s">
        <v>200</v>
      </c>
      <c r="B665" s="239" t="s">
        <v>499</v>
      </c>
      <c r="C665" s="376" t="s">
        <v>113</v>
      </c>
      <c r="D665" s="240">
        <v>3</v>
      </c>
      <c r="E665" s="181"/>
      <c r="F665" s="182"/>
      <c r="G665" s="183">
        <f t="shared" si="100"/>
        <v>0</v>
      </c>
    </row>
    <row r="666" spans="1:10" ht="12.75" customHeight="1" x14ac:dyDescent="0.2">
      <c r="A666" s="410" t="s">
        <v>178</v>
      </c>
      <c r="B666" s="421" t="s">
        <v>230</v>
      </c>
      <c r="C666" s="422"/>
      <c r="D666" s="413"/>
      <c r="E666" s="414"/>
      <c r="F666" s="419"/>
      <c r="G666" s="420">
        <f t="shared" si="100"/>
        <v>0</v>
      </c>
    </row>
    <row r="667" spans="1:10" ht="39" customHeight="1" x14ac:dyDescent="0.2">
      <c r="A667" s="417" t="s">
        <v>177</v>
      </c>
      <c r="B667" s="239" t="s">
        <v>231</v>
      </c>
      <c r="C667" s="376" t="s">
        <v>15</v>
      </c>
      <c r="D667" s="240">
        <v>1</v>
      </c>
      <c r="E667" s="181"/>
      <c r="F667" s="182"/>
      <c r="G667" s="183">
        <f t="shared" si="100"/>
        <v>0</v>
      </c>
    </row>
    <row r="668" spans="1:10" ht="36.75" customHeight="1" x14ac:dyDescent="0.2">
      <c r="A668" s="417" t="s">
        <v>178</v>
      </c>
      <c r="B668" s="239" t="s">
        <v>232</v>
      </c>
      <c r="C668" s="376" t="s">
        <v>15</v>
      </c>
      <c r="D668" s="240">
        <v>1</v>
      </c>
      <c r="E668" s="181"/>
      <c r="F668" s="182"/>
      <c r="G668" s="183">
        <f t="shared" si="100"/>
        <v>0</v>
      </c>
    </row>
    <row r="669" spans="1:10" ht="49.5" customHeight="1" x14ac:dyDescent="0.2">
      <c r="A669" s="417" t="s">
        <v>191</v>
      </c>
      <c r="B669" s="239" t="s">
        <v>445</v>
      </c>
      <c r="C669" s="186" t="s">
        <v>150</v>
      </c>
      <c r="D669" s="240">
        <v>1.8</v>
      </c>
      <c r="E669" s="181"/>
      <c r="F669" s="182"/>
      <c r="G669" s="183">
        <f t="shared" si="100"/>
        <v>0</v>
      </c>
      <c r="I669" s="33"/>
      <c r="J669" s="33"/>
    </row>
    <row r="670" spans="1:10" x14ac:dyDescent="0.2">
      <c r="A670" s="417"/>
      <c r="B670" s="239"/>
      <c r="C670" s="376"/>
      <c r="D670" s="240"/>
      <c r="E670" s="181"/>
      <c r="F670" s="182"/>
      <c r="G670" s="183"/>
    </row>
    <row r="671" spans="1:10" x14ac:dyDescent="0.2">
      <c r="A671" s="417"/>
      <c r="B671" s="239"/>
      <c r="C671" s="376"/>
      <c r="D671" s="240"/>
      <c r="E671" s="181"/>
      <c r="F671" s="182"/>
      <c r="G671" s="183"/>
    </row>
    <row r="672" spans="1:10" x14ac:dyDescent="0.2">
      <c r="A672" s="417"/>
      <c r="B672" s="239"/>
      <c r="C672" s="376"/>
      <c r="D672" s="240"/>
      <c r="E672" s="181"/>
      <c r="F672" s="182"/>
      <c r="G672" s="183"/>
    </row>
    <row r="673" spans="1:7" x14ac:dyDescent="0.2">
      <c r="A673" s="417"/>
      <c r="B673" s="239"/>
      <c r="C673" s="376"/>
      <c r="D673" s="240"/>
      <c r="E673" s="181"/>
      <c r="F673" s="182"/>
      <c r="G673" s="183"/>
    </row>
    <row r="674" spans="1:7" x14ac:dyDescent="0.2">
      <c r="A674" s="417"/>
      <c r="B674" s="239"/>
      <c r="C674" s="376"/>
      <c r="D674" s="240"/>
      <c r="E674" s="181"/>
      <c r="F674" s="182"/>
      <c r="G674" s="183"/>
    </row>
    <row r="675" spans="1:7" x14ac:dyDescent="0.2">
      <c r="A675" s="417"/>
      <c r="B675" s="239"/>
      <c r="C675" s="376"/>
      <c r="D675" s="240"/>
      <c r="E675" s="181"/>
      <c r="F675" s="182"/>
      <c r="G675" s="183"/>
    </row>
    <row r="676" spans="1:7" x14ac:dyDescent="0.2">
      <c r="A676" s="417"/>
      <c r="B676" s="239"/>
      <c r="C676" s="376"/>
      <c r="D676" s="240"/>
      <c r="E676" s="181"/>
      <c r="F676" s="182"/>
      <c r="G676" s="183"/>
    </row>
    <row r="677" spans="1:7" ht="12.75" thickBot="1" x14ac:dyDescent="0.25">
      <c r="A677" s="423"/>
      <c r="B677" s="424"/>
      <c r="C677" s="425"/>
      <c r="D677" s="426"/>
      <c r="E677" s="199"/>
      <c r="F677" s="200"/>
      <c r="G677" s="201"/>
    </row>
    <row r="678" spans="1:7" x14ac:dyDescent="0.2">
      <c r="A678" s="427"/>
      <c r="B678" s="428"/>
      <c r="C678" s="429"/>
      <c r="D678" s="430"/>
      <c r="E678" s="327"/>
      <c r="F678" s="328"/>
      <c r="G678" s="211"/>
    </row>
    <row r="679" spans="1:7" ht="12.75" customHeight="1" x14ac:dyDescent="0.2">
      <c r="A679" s="431" t="s">
        <v>161</v>
      </c>
      <c r="B679" s="432" t="s">
        <v>69</v>
      </c>
      <c r="C679" s="433"/>
      <c r="D679" s="434"/>
      <c r="E679" s="374"/>
      <c r="F679" s="221"/>
      <c r="G679" s="222"/>
    </row>
    <row r="680" spans="1:7" x14ac:dyDescent="0.2">
      <c r="A680" s="410" t="s">
        <v>177</v>
      </c>
      <c r="B680" s="411" t="s">
        <v>133</v>
      </c>
      <c r="C680" s="412"/>
      <c r="D680" s="413"/>
      <c r="E680" s="414"/>
      <c r="F680" s="415"/>
      <c r="G680" s="416"/>
    </row>
    <row r="681" spans="1:7" x14ac:dyDescent="0.2">
      <c r="A681" s="417" t="s">
        <v>201</v>
      </c>
      <c r="B681" s="239" t="s">
        <v>226</v>
      </c>
      <c r="C681" s="376" t="s">
        <v>15</v>
      </c>
      <c r="D681" s="240">
        <v>1</v>
      </c>
      <c r="E681" s="181"/>
      <c r="F681" s="182"/>
      <c r="G681" s="183">
        <f>(D681*E681)+(D681*F681)</f>
        <v>0</v>
      </c>
    </row>
    <row r="682" spans="1:7" ht="24" x14ac:dyDescent="0.2">
      <c r="A682" s="417" t="s">
        <v>202</v>
      </c>
      <c r="B682" s="239" t="s">
        <v>227</v>
      </c>
      <c r="C682" s="376" t="s">
        <v>15</v>
      </c>
      <c r="D682" s="240">
        <v>1</v>
      </c>
      <c r="E682" s="181"/>
      <c r="F682" s="182"/>
      <c r="G682" s="183">
        <f>(D682*E682)+(D682*F682)</f>
        <v>0</v>
      </c>
    </row>
    <row r="683" spans="1:7" ht="14.25" customHeight="1" x14ac:dyDescent="0.2">
      <c r="A683" s="410" t="s">
        <v>178</v>
      </c>
      <c r="B683" s="418" t="s">
        <v>134</v>
      </c>
      <c r="C683" s="412"/>
      <c r="D683" s="413"/>
      <c r="E683" s="414"/>
      <c r="F683" s="419"/>
      <c r="G683" s="420"/>
    </row>
    <row r="684" spans="1:7" ht="14.25" customHeight="1" x14ac:dyDescent="0.2">
      <c r="A684" s="417" t="s">
        <v>177</v>
      </c>
      <c r="B684" s="239" t="s">
        <v>135</v>
      </c>
      <c r="C684" s="376" t="s">
        <v>113</v>
      </c>
      <c r="D684" s="240">
        <v>3</v>
      </c>
      <c r="E684" s="181"/>
      <c r="F684" s="182"/>
      <c r="G684" s="183">
        <f>(D684*E684)+(D684*F684)</f>
        <v>0</v>
      </c>
    </row>
    <row r="685" spans="1:7" x14ac:dyDescent="0.2">
      <c r="A685" s="417" t="s">
        <v>178</v>
      </c>
      <c r="B685" s="239" t="s">
        <v>228</v>
      </c>
      <c r="C685" s="376" t="s">
        <v>113</v>
      </c>
      <c r="D685" s="240">
        <v>1</v>
      </c>
      <c r="E685" s="181"/>
      <c r="F685" s="182"/>
      <c r="G685" s="183">
        <f t="shared" ref="G685:G695" si="101">(D685*E685)+(D685*F685)</f>
        <v>0</v>
      </c>
    </row>
    <row r="686" spans="1:7" x14ac:dyDescent="0.2">
      <c r="A686" s="417" t="s">
        <v>191</v>
      </c>
      <c r="B686" s="239" t="s">
        <v>136</v>
      </c>
      <c r="C686" s="376" t="s">
        <v>113</v>
      </c>
      <c r="D686" s="240">
        <v>1</v>
      </c>
      <c r="E686" s="181"/>
      <c r="F686" s="182"/>
      <c r="G686" s="183">
        <f t="shared" si="101"/>
        <v>0</v>
      </c>
    </row>
    <row r="687" spans="1:7" x14ac:dyDescent="0.2">
      <c r="A687" s="417" t="s">
        <v>192</v>
      </c>
      <c r="B687" s="239" t="s">
        <v>137</v>
      </c>
      <c r="C687" s="376" t="s">
        <v>113</v>
      </c>
      <c r="D687" s="240">
        <f>D684</f>
        <v>3</v>
      </c>
      <c r="E687" s="181"/>
      <c r="F687" s="182"/>
      <c r="G687" s="183">
        <f t="shared" si="101"/>
        <v>0</v>
      </c>
    </row>
    <row r="688" spans="1:7" x14ac:dyDescent="0.2">
      <c r="A688" s="417" t="s">
        <v>193</v>
      </c>
      <c r="B688" s="239" t="s">
        <v>138</v>
      </c>
      <c r="C688" s="376" t="s">
        <v>113</v>
      </c>
      <c r="D688" s="240">
        <f>D684</f>
        <v>3</v>
      </c>
      <c r="E688" s="181"/>
      <c r="F688" s="182"/>
      <c r="G688" s="183">
        <f t="shared" si="101"/>
        <v>0</v>
      </c>
    </row>
    <row r="689" spans="1:7" x14ac:dyDescent="0.2">
      <c r="A689" s="417" t="s">
        <v>194</v>
      </c>
      <c r="B689" s="239" t="s">
        <v>139</v>
      </c>
      <c r="C689" s="376" t="s">
        <v>113</v>
      </c>
      <c r="D689" s="240">
        <f>D684</f>
        <v>3</v>
      </c>
      <c r="E689" s="181"/>
      <c r="F689" s="182"/>
      <c r="G689" s="183">
        <f t="shared" si="101"/>
        <v>0</v>
      </c>
    </row>
    <row r="690" spans="1:7" x14ac:dyDescent="0.2">
      <c r="A690" s="417" t="s">
        <v>195</v>
      </c>
      <c r="B690" s="239" t="s">
        <v>486</v>
      </c>
      <c r="C690" s="376" t="s">
        <v>113</v>
      </c>
      <c r="D690" s="240">
        <v>5</v>
      </c>
      <c r="E690" s="181"/>
      <c r="F690" s="182"/>
      <c r="G690" s="183">
        <f t="shared" si="101"/>
        <v>0</v>
      </c>
    </row>
    <row r="691" spans="1:7" ht="14.25" customHeight="1" x14ac:dyDescent="0.2">
      <c r="A691" s="417" t="s">
        <v>196</v>
      </c>
      <c r="B691" s="239" t="s">
        <v>229</v>
      </c>
      <c r="C691" s="376" t="s">
        <v>113</v>
      </c>
      <c r="D691" s="240">
        <f>D684</f>
        <v>3</v>
      </c>
      <c r="E691" s="181"/>
      <c r="F691" s="182"/>
      <c r="G691" s="183">
        <f t="shared" si="101"/>
        <v>0</v>
      </c>
    </row>
    <row r="692" spans="1:7" x14ac:dyDescent="0.2">
      <c r="A692" s="417" t="s">
        <v>197</v>
      </c>
      <c r="B692" s="239" t="s">
        <v>282</v>
      </c>
      <c r="C692" s="376" t="s">
        <v>113</v>
      </c>
      <c r="D692" s="240">
        <v>4</v>
      </c>
      <c r="E692" s="181"/>
      <c r="F692" s="182"/>
      <c r="G692" s="183">
        <f t="shared" si="101"/>
        <v>0</v>
      </c>
    </row>
    <row r="693" spans="1:7" x14ac:dyDescent="0.2">
      <c r="A693" s="417" t="s">
        <v>200</v>
      </c>
      <c r="B693" s="239" t="s">
        <v>499</v>
      </c>
      <c r="C693" s="376" t="s">
        <v>113</v>
      </c>
      <c r="D693" s="240">
        <v>3</v>
      </c>
      <c r="E693" s="181"/>
      <c r="F693" s="182"/>
      <c r="G693" s="183">
        <f t="shared" si="101"/>
        <v>0</v>
      </c>
    </row>
    <row r="694" spans="1:7" x14ac:dyDescent="0.2">
      <c r="A694" s="410" t="s">
        <v>191</v>
      </c>
      <c r="B694" s="421" t="s">
        <v>230</v>
      </c>
      <c r="C694" s="422"/>
      <c r="D694" s="413"/>
      <c r="E694" s="414"/>
      <c r="F694" s="419"/>
      <c r="G694" s="420">
        <f t="shared" si="101"/>
        <v>0</v>
      </c>
    </row>
    <row r="695" spans="1:7" ht="38.25" customHeight="1" x14ac:dyDescent="0.2">
      <c r="A695" s="417" t="s">
        <v>177</v>
      </c>
      <c r="B695" s="239" t="s">
        <v>231</v>
      </c>
      <c r="C695" s="376" t="s">
        <v>15</v>
      </c>
      <c r="D695" s="240">
        <v>1</v>
      </c>
      <c r="E695" s="181"/>
      <c r="F695" s="182"/>
      <c r="G695" s="183">
        <f t="shared" si="101"/>
        <v>0</v>
      </c>
    </row>
    <row r="696" spans="1:7" ht="6.75" customHeight="1" x14ac:dyDescent="0.2">
      <c r="A696" s="177"/>
      <c r="B696" s="344"/>
      <c r="C696" s="383"/>
      <c r="D696" s="180"/>
      <c r="E696" s="181"/>
      <c r="F696" s="182"/>
      <c r="G696" s="183"/>
    </row>
    <row r="697" spans="1:7" x14ac:dyDescent="0.2">
      <c r="A697" s="431" t="s">
        <v>57</v>
      </c>
      <c r="B697" s="432" t="s">
        <v>295</v>
      </c>
      <c r="C697" s="433"/>
      <c r="D697" s="434"/>
      <c r="E697" s="374"/>
      <c r="F697" s="221"/>
      <c r="G697" s="222"/>
    </row>
    <row r="698" spans="1:7" x14ac:dyDescent="0.2">
      <c r="A698" s="410" t="s">
        <v>177</v>
      </c>
      <c r="B698" s="421" t="s">
        <v>230</v>
      </c>
      <c r="C698" s="422"/>
      <c r="D698" s="413"/>
      <c r="E698" s="414"/>
      <c r="F698" s="419"/>
      <c r="G698" s="420">
        <f t="shared" ref="G698:G699" si="102">(D698*E698)+(D698*F698)</f>
        <v>0</v>
      </c>
    </row>
    <row r="699" spans="1:7" ht="36" x14ac:dyDescent="0.2">
      <c r="A699" s="417" t="s">
        <v>177</v>
      </c>
      <c r="B699" s="239" t="s">
        <v>390</v>
      </c>
      <c r="C699" s="376" t="s">
        <v>15</v>
      </c>
      <c r="D699" s="240">
        <v>1</v>
      </c>
      <c r="E699" s="181"/>
      <c r="F699" s="182"/>
      <c r="G699" s="183">
        <f t="shared" si="102"/>
        <v>0</v>
      </c>
    </row>
    <row r="700" spans="1:7" x14ac:dyDescent="0.2">
      <c r="A700" s="177"/>
      <c r="B700" s="344"/>
      <c r="C700" s="383"/>
      <c r="D700" s="180"/>
      <c r="E700" s="181"/>
      <c r="F700" s="182"/>
      <c r="G700" s="183"/>
    </row>
    <row r="701" spans="1:7" x14ac:dyDescent="0.2">
      <c r="A701" s="177"/>
      <c r="B701" s="344"/>
      <c r="C701" s="383"/>
      <c r="D701" s="180"/>
      <c r="E701" s="181"/>
      <c r="F701" s="182"/>
      <c r="G701" s="183"/>
    </row>
    <row r="702" spans="1:7" x14ac:dyDescent="0.2">
      <c r="A702" s="177"/>
      <c r="B702" s="344"/>
      <c r="C702" s="383"/>
      <c r="D702" s="180"/>
      <c r="E702" s="181"/>
      <c r="F702" s="182"/>
      <c r="G702" s="183"/>
    </row>
    <row r="703" spans="1:7" x14ac:dyDescent="0.2">
      <c r="A703" s="177"/>
      <c r="B703" s="344"/>
      <c r="C703" s="383"/>
      <c r="D703" s="180"/>
      <c r="E703" s="181"/>
      <c r="F703" s="182"/>
      <c r="G703" s="183"/>
    </row>
    <row r="704" spans="1:7" x14ac:dyDescent="0.2">
      <c r="A704" s="177"/>
      <c r="B704" s="344"/>
      <c r="C704" s="383"/>
      <c r="D704" s="180"/>
      <c r="E704" s="181"/>
      <c r="F704" s="182"/>
      <c r="G704" s="183"/>
    </row>
    <row r="705" spans="1:7" x14ac:dyDescent="0.2">
      <c r="A705" s="177"/>
      <c r="B705" s="344"/>
      <c r="C705" s="383"/>
      <c r="D705" s="180"/>
      <c r="E705" s="181"/>
      <c r="F705" s="182"/>
      <c r="G705" s="183"/>
    </row>
    <row r="706" spans="1:7" x14ac:dyDescent="0.2">
      <c r="A706" s="177"/>
      <c r="B706" s="344"/>
      <c r="C706" s="383"/>
      <c r="D706" s="180"/>
      <c r="E706" s="181"/>
      <c r="F706" s="182"/>
      <c r="G706" s="183"/>
    </row>
    <row r="707" spans="1:7" x14ac:dyDescent="0.2">
      <c r="A707" s="177"/>
      <c r="B707" s="344"/>
      <c r="C707" s="383"/>
      <c r="D707" s="180"/>
      <c r="E707" s="181"/>
      <c r="F707" s="182"/>
      <c r="G707" s="183"/>
    </row>
    <row r="708" spans="1:7" x14ac:dyDescent="0.2">
      <c r="A708" s="177"/>
      <c r="B708" s="344"/>
      <c r="C708" s="383"/>
      <c r="D708" s="180"/>
      <c r="E708" s="181"/>
      <c r="F708" s="182"/>
      <c r="G708" s="183"/>
    </row>
    <row r="709" spans="1:7" x14ac:dyDescent="0.2">
      <c r="A709" s="177"/>
      <c r="B709" s="344"/>
      <c r="C709" s="383"/>
      <c r="D709" s="180"/>
      <c r="E709" s="181"/>
      <c r="F709" s="182"/>
      <c r="G709" s="183"/>
    </row>
    <row r="710" spans="1:7" x14ac:dyDescent="0.2">
      <c r="A710" s="177"/>
      <c r="B710" s="344"/>
      <c r="C710" s="383"/>
      <c r="D710" s="180"/>
      <c r="E710" s="181"/>
      <c r="F710" s="182"/>
      <c r="G710" s="183"/>
    </row>
    <row r="711" spans="1:7" x14ac:dyDescent="0.2">
      <c r="A711" s="177"/>
      <c r="B711" s="344"/>
      <c r="C711" s="383"/>
      <c r="D711" s="180"/>
      <c r="E711" s="181"/>
      <c r="F711" s="182"/>
      <c r="G711" s="183"/>
    </row>
    <row r="712" spans="1:7" x14ac:dyDescent="0.2">
      <c r="A712" s="177"/>
      <c r="B712" s="344"/>
      <c r="C712" s="383"/>
      <c r="D712" s="180"/>
      <c r="E712" s="181"/>
      <c r="F712" s="182"/>
      <c r="G712" s="183"/>
    </row>
    <row r="713" spans="1:7" x14ac:dyDescent="0.2">
      <c r="A713" s="177"/>
      <c r="B713" s="344"/>
      <c r="C713" s="383"/>
      <c r="D713" s="180"/>
      <c r="E713" s="181"/>
      <c r="F713" s="182"/>
      <c r="G713" s="183"/>
    </row>
    <row r="714" spans="1:7" x14ac:dyDescent="0.2">
      <c r="A714" s="177"/>
      <c r="B714" s="344"/>
      <c r="C714" s="383"/>
      <c r="D714" s="180"/>
      <c r="E714" s="181"/>
      <c r="F714" s="182"/>
      <c r="G714" s="183"/>
    </row>
    <row r="715" spans="1:7" x14ac:dyDescent="0.2">
      <c r="A715" s="177"/>
      <c r="B715" s="344"/>
      <c r="C715" s="383"/>
      <c r="D715" s="180"/>
      <c r="E715" s="181"/>
      <c r="F715" s="182"/>
      <c r="G715" s="183"/>
    </row>
    <row r="716" spans="1:7" x14ac:dyDescent="0.2">
      <c r="A716" s="177"/>
      <c r="B716" s="344"/>
      <c r="C716" s="383"/>
      <c r="D716" s="180"/>
      <c r="E716" s="181"/>
      <c r="F716" s="182"/>
      <c r="G716" s="183"/>
    </row>
    <row r="717" spans="1:7" x14ac:dyDescent="0.2">
      <c r="A717" s="177"/>
      <c r="B717" s="344"/>
      <c r="C717" s="383"/>
      <c r="D717" s="180"/>
      <c r="E717" s="181"/>
      <c r="F717" s="182"/>
      <c r="G717" s="183"/>
    </row>
    <row r="718" spans="1:7" x14ac:dyDescent="0.2">
      <c r="A718" s="177"/>
      <c r="B718" s="344"/>
      <c r="C718" s="383"/>
      <c r="D718" s="180"/>
      <c r="E718" s="181"/>
      <c r="F718" s="182"/>
      <c r="G718" s="183"/>
    </row>
    <row r="719" spans="1:7" x14ac:dyDescent="0.2">
      <c r="A719" s="177"/>
      <c r="B719" s="344"/>
      <c r="C719" s="383"/>
      <c r="D719" s="180"/>
      <c r="E719" s="181"/>
      <c r="F719" s="182"/>
      <c r="G719" s="183"/>
    </row>
    <row r="720" spans="1:7" x14ac:dyDescent="0.2">
      <c r="A720" s="177"/>
      <c r="B720" s="344"/>
      <c r="C720" s="383"/>
      <c r="D720" s="180"/>
      <c r="E720" s="181"/>
      <c r="F720" s="182"/>
      <c r="G720" s="183"/>
    </row>
    <row r="721" spans="1:7" x14ac:dyDescent="0.2">
      <c r="A721" s="177"/>
      <c r="B721" s="344"/>
      <c r="C721" s="383"/>
      <c r="D721" s="180"/>
      <c r="E721" s="181"/>
      <c r="F721" s="182"/>
      <c r="G721" s="183"/>
    </row>
    <row r="722" spans="1:7" x14ac:dyDescent="0.2">
      <c r="A722" s="177"/>
      <c r="B722" s="344"/>
      <c r="C722" s="383"/>
      <c r="D722" s="180"/>
      <c r="E722" s="181"/>
      <c r="F722" s="182"/>
      <c r="G722" s="183"/>
    </row>
    <row r="723" spans="1:7" x14ac:dyDescent="0.2">
      <c r="A723" s="177"/>
      <c r="B723" s="344"/>
      <c r="C723" s="383"/>
      <c r="D723" s="180"/>
      <c r="E723" s="181"/>
      <c r="F723" s="182"/>
      <c r="G723" s="183"/>
    </row>
    <row r="724" spans="1:7" x14ac:dyDescent="0.2">
      <c r="A724" s="177"/>
      <c r="B724" s="344"/>
      <c r="C724" s="383"/>
      <c r="D724" s="180"/>
      <c r="E724" s="181"/>
      <c r="F724" s="182"/>
      <c r="G724" s="183"/>
    </row>
    <row r="725" spans="1:7" x14ac:dyDescent="0.2">
      <c r="A725" s="177"/>
      <c r="B725" s="344"/>
      <c r="C725" s="383"/>
      <c r="D725" s="180"/>
      <c r="E725" s="181"/>
      <c r="F725" s="182"/>
      <c r="G725" s="183"/>
    </row>
    <row r="726" spans="1:7" x14ac:dyDescent="0.2">
      <c r="A726" s="177"/>
      <c r="B726" s="344"/>
      <c r="C726" s="383"/>
      <c r="D726" s="180"/>
      <c r="E726" s="181"/>
      <c r="F726" s="182"/>
      <c r="G726" s="183"/>
    </row>
    <row r="727" spans="1:7" x14ac:dyDescent="0.2">
      <c r="A727" s="177"/>
      <c r="B727" s="344"/>
      <c r="C727" s="383"/>
      <c r="D727" s="180"/>
      <c r="E727" s="181"/>
      <c r="F727" s="182"/>
      <c r="G727" s="183"/>
    </row>
    <row r="728" spans="1:7" ht="12.75" thickBot="1" x14ac:dyDescent="0.25">
      <c r="A728" s="177"/>
      <c r="B728" s="344"/>
      <c r="C728" s="383"/>
      <c r="D728" s="180"/>
      <c r="E728" s="181"/>
      <c r="F728" s="182"/>
      <c r="G728" s="183"/>
    </row>
    <row r="729" spans="1:7" x14ac:dyDescent="0.2">
      <c r="A729" s="153"/>
      <c r="B729" s="154" t="s">
        <v>212</v>
      </c>
      <c r="C729" s="166"/>
      <c r="D729" s="156"/>
      <c r="E729" s="157"/>
      <c r="F729" s="275"/>
      <c r="G729" s="210"/>
    </row>
    <row r="730" spans="1:7" ht="12.75" thickBot="1" x14ac:dyDescent="0.25">
      <c r="A730" s="159"/>
      <c r="B730" s="142" t="s">
        <v>129</v>
      </c>
      <c r="C730" s="167"/>
      <c r="D730" s="161"/>
      <c r="E730" s="162"/>
      <c r="F730" s="276"/>
      <c r="G730" s="146">
        <f>SUM(G652:G729)</f>
        <v>0</v>
      </c>
    </row>
    <row r="731" spans="1:7" ht="12.75" thickBot="1" x14ac:dyDescent="0.25">
      <c r="A731" s="91"/>
      <c r="B731" s="104"/>
      <c r="C731" s="47"/>
      <c r="D731" s="63"/>
      <c r="E731" s="48"/>
      <c r="F731" s="49"/>
      <c r="G731" s="75"/>
    </row>
    <row r="732" spans="1:7" x14ac:dyDescent="0.2">
      <c r="A732" s="153"/>
      <c r="B732" s="363" t="s">
        <v>130</v>
      </c>
      <c r="C732" s="166"/>
      <c r="D732" s="156"/>
      <c r="E732" s="157"/>
      <c r="F732" s="209"/>
      <c r="G732" s="210"/>
    </row>
    <row r="733" spans="1:7" x14ac:dyDescent="0.2">
      <c r="A733" s="65"/>
      <c r="B733" s="66" t="s">
        <v>99</v>
      </c>
      <c r="C733" s="74"/>
      <c r="D733" s="61"/>
      <c r="E733" s="69"/>
      <c r="F733" s="49"/>
      <c r="G733" s="75"/>
    </row>
    <row r="734" spans="1:7" x14ac:dyDescent="0.2">
      <c r="A734" s="131" t="s">
        <v>132</v>
      </c>
      <c r="B734" s="80" t="s">
        <v>41</v>
      </c>
      <c r="C734" s="74"/>
      <c r="D734" s="61"/>
      <c r="E734" s="132"/>
      <c r="F734" s="49"/>
      <c r="G734" s="75"/>
    </row>
    <row r="735" spans="1:7" ht="37.5" customHeight="1" x14ac:dyDescent="0.2">
      <c r="A735" s="133"/>
      <c r="B735" s="76" t="s">
        <v>301</v>
      </c>
      <c r="C735" s="102"/>
      <c r="D735" s="102"/>
      <c r="E735" s="102"/>
      <c r="F735" s="102"/>
      <c r="G735" s="103"/>
    </row>
    <row r="736" spans="1:7" ht="50.25" customHeight="1" x14ac:dyDescent="0.2">
      <c r="A736" s="133"/>
      <c r="B736" s="76" t="s">
        <v>302</v>
      </c>
      <c r="C736" s="102"/>
      <c r="D736" s="102"/>
      <c r="E736" s="102"/>
      <c r="F736" s="102"/>
      <c r="G736" s="103"/>
    </row>
    <row r="737" spans="1:7" ht="48" customHeight="1" x14ac:dyDescent="0.2">
      <c r="A737" s="133"/>
      <c r="B737" s="76" t="s">
        <v>300</v>
      </c>
      <c r="C737" s="102"/>
      <c r="D737" s="102"/>
      <c r="E737" s="102"/>
      <c r="F737" s="102"/>
      <c r="G737" s="103"/>
    </row>
    <row r="738" spans="1:7" ht="35.25" customHeight="1" x14ac:dyDescent="0.2">
      <c r="A738" s="134"/>
      <c r="B738" s="76" t="s">
        <v>198</v>
      </c>
      <c r="C738" s="102"/>
      <c r="D738" s="102"/>
      <c r="E738" s="102"/>
      <c r="F738" s="102"/>
      <c r="G738" s="103"/>
    </row>
    <row r="739" spans="1:7" ht="27" customHeight="1" thickBot="1" x14ac:dyDescent="0.25">
      <c r="A739" s="437"/>
      <c r="B739" s="438" t="s">
        <v>299</v>
      </c>
      <c r="C739" s="401"/>
      <c r="D739" s="401"/>
      <c r="E739" s="401"/>
      <c r="F739" s="401"/>
      <c r="G739" s="402"/>
    </row>
    <row r="740" spans="1:7" x14ac:dyDescent="0.2">
      <c r="A740" s="439" t="s">
        <v>160</v>
      </c>
      <c r="B740" s="440" t="s">
        <v>67</v>
      </c>
      <c r="C740" s="441"/>
      <c r="D740" s="442"/>
      <c r="E740" s="443"/>
      <c r="F740" s="444"/>
      <c r="G740" s="445"/>
    </row>
    <row r="741" spans="1:7" ht="12.75" x14ac:dyDescent="0.2">
      <c r="A741" s="446" t="s">
        <v>177</v>
      </c>
      <c r="B741" s="447" t="s">
        <v>239</v>
      </c>
      <c r="C741" s="286"/>
      <c r="D741" s="287"/>
      <c r="E741" s="288"/>
      <c r="F741" s="235"/>
      <c r="G741" s="236">
        <f>D741*E741</f>
        <v>0</v>
      </c>
    </row>
    <row r="742" spans="1:7" ht="25.5" customHeight="1" x14ac:dyDescent="0.2">
      <c r="A742" s="448" t="s">
        <v>201</v>
      </c>
      <c r="B742" s="449" t="s">
        <v>290</v>
      </c>
      <c r="C742" s="450" t="s">
        <v>8</v>
      </c>
      <c r="D742" s="451">
        <v>1</v>
      </c>
      <c r="E742" s="452"/>
      <c r="F742" s="452"/>
      <c r="G742" s="453">
        <f>+D742*E742+D742*F742</f>
        <v>0</v>
      </c>
    </row>
    <row r="743" spans="1:7" ht="25.5" x14ac:dyDescent="0.2">
      <c r="A743" s="448" t="s">
        <v>202</v>
      </c>
      <c r="B743" s="454" t="s">
        <v>262</v>
      </c>
      <c r="C743" s="450" t="s">
        <v>8</v>
      </c>
      <c r="D743" s="451">
        <v>1</v>
      </c>
      <c r="E743" s="288"/>
      <c r="F743" s="452"/>
      <c r="G743" s="453">
        <f t="shared" ref="G743:G770" si="103">+D743*E743+D743*F743</f>
        <v>0</v>
      </c>
    </row>
    <row r="744" spans="1:7" ht="12.75" x14ac:dyDescent="0.2">
      <c r="A744" s="446" t="s">
        <v>178</v>
      </c>
      <c r="B744" s="447" t="s">
        <v>240</v>
      </c>
      <c r="C744" s="455"/>
      <c r="D744" s="456"/>
      <c r="E744" s="288"/>
      <c r="F744" s="452"/>
      <c r="G744" s="457">
        <f t="shared" si="103"/>
        <v>0</v>
      </c>
    </row>
    <row r="745" spans="1:7" ht="12.75" x14ac:dyDescent="0.2">
      <c r="A745" s="448"/>
      <c r="B745" s="454" t="s">
        <v>391</v>
      </c>
      <c r="C745" s="286" t="s">
        <v>8</v>
      </c>
      <c r="D745" s="287">
        <v>24</v>
      </c>
      <c r="E745" s="288"/>
      <c r="F745" s="452"/>
      <c r="G745" s="457">
        <f t="shared" si="103"/>
        <v>0</v>
      </c>
    </row>
    <row r="746" spans="1:7" ht="12.75" x14ac:dyDescent="0.2">
      <c r="A746" s="448"/>
      <c r="B746" s="454" t="s">
        <v>392</v>
      </c>
      <c r="C746" s="286" t="s">
        <v>8</v>
      </c>
      <c r="D746" s="287">
        <v>9</v>
      </c>
      <c r="E746" s="288"/>
      <c r="F746" s="452"/>
      <c r="G746" s="457">
        <f t="shared" ref="G746" si="104">+D746*E746+D746*F746</f>
        <v>0</v>
      </c>
    </row>
    <row r="747" spans="1:7" ht="12.75" x14ac:dyDescent="0.2">
      <c r="A747" s="448"/>
      <c r="B747" s="454" t="s">
        <v>308</v>
      </c>
      <c r="C747" s="286" t="s">
        <v>8</v>
      </c>
      <c r="D747" s="287">
        <v>6</v>
      </c>
      <c r="E747" s="288"/>
      <c r="F747" s="452"/>
      <c r="G747" s="457">
        <f t="shared" ref="G747" si="105">+D747*E747+D747*F747</f>
        <v>0</v>
      </c>
    </row>
    <row r="748" spans="1:7" ht="12.75" x14ac:dyDescent="0.2">
      <c r="A748" s="448"/>
      <c r="B748" s="454" t="s">
        <v>309</v>
      </c>
      <c r="C748" s="286" t="s">
        <v>8</v>
      </c>
      <c r="D748" s="287">
        <v>9</v>
      </c>
      <c r="E748" s="288"/>
      <c r="F748" s="452"/>
      <c r="G748" s="457">
        <f t="shared" si="103"/>
        <v>0</v>
      </c>
    </row>
    <row r="749" spans="1:7" ht="12.75" x14ac:dyDescent="0.2">
      <c r="A749" s="448"/>
      <c r="B749" s="454" t="s">
        <v>291</v>
      </c>
      <c r="C749" s="286" t="s">
        <v>8</v>
      </c>
      <c r="D749" s="287">
        <v>12</v>
      </c>
      <c r="E749" s="288"/>
      <c r="F749" s="452"/>
      <c r="G749" s="457">
        <f t="shared" si="103"/>
        <v>0</v>
      </c>
    </row>
    <row r="750" spans="1:7" ht="12.75" x14ac:dyDescent="0.2">
      <c r="A750" s="448"/>
      <c r="B750" s="454" t="s">
        <v>479</v>
      </c>
      <c r="C750" s="286" t="s">
        <v>8</v>
      </c>
      <c r="D750" s="287">
        <v>2</v>
      </c>
      <c r="E750" s="288"/>
      <c r="F750" s="452"/>
      <c r="G750" s="457">
        <f t="shared" si="103"/>
        <v>0</v>
      </c>
    </row>
    <row r="751" spans="1:7" ht="12.75" x14ac:dyDescent="0.2">
      <c r="A751" s="448"/>
      <c r="B751" s="454" t="s">
        <v>407</v>
      </c>
      <c r="C751" s="450" t="s">
        <v>8</v>
      </c>
      <c r="D751" s="451">
        <v>5</v>
      </c>
      <c r="E751" s="288"/>
      <c r="F751" s="452"/>
      <c r="G751" s="457">
        <f t="shared" ref="G751:G754" si="106">+D751*E751+D751*F751</f>
        <v>0</v>
      </c>
    </row>
    <row r="752" spans="1:7" ht="12.75" x14ac:dyDescent="0.2">
      <c r="A752" s="448"/>
      <c r="B752" s="454" t="s">
        <v>477</v>
      </c>
      <c r="C752" s="450" t="s">
        <v>8</v>
      </c>
      <c r="D752" s="451">
        <v>11</v>
      </c>
      <c r="E752" s="288"/>
      <c r="F752" s="452"/>
      <c r="G752" s="457">
        <f t="shared" ref="G752:G753" si="107">+D752*E752+D752*F752</f>
        <v>0</v>
      </c>
    </row>
    <row r="753" spans="1:7" ht="12.75" x14ac:dyDescent="0.2">
      <c r="A753" s="448"/>
      <c r="B753" s="454" t="s">
        <v>478</v>
      </c>
      <c r="C753" s="450" t="s">
        <v>8</v>
      </c>
      <c r="D753" s="451">
        <v>5</v>
      </c>
      <c r="E753" s="288"/>
      <c r="F753" s="452"/>
      <c r="G753" s="457">
        <f t="shared" si="107"/>
        <v>0</v>
      </c>
    </row>
    <row r="754" spans="1:7" ht="12.75" x14ac:dyDescent="0.2">
      <c r="A754" s="448"/>
      <c r="B754" s="454" t="s">
        <v>395</v>
      </c>
      <c r="C754" s="450" t="s">
        <v>8</v>
      </c>
      <c r="D754" s="451">
        <v>12</v>
      </c>
      <c r="E754" s="288"/>
      <c r="F754" s="452"/>
      <c r="G754" s="457">
        <f t="shared" si="106"/>
        <v>0</v>
      </c>
    </row>
    <row r="755" spans="1:7" ht="12.75" x14ac:dyDescent="0.2">
      <c r="A755" s="448"/>
      <c r="B755" s="454" t="s">
        <v>396</v>
      </c>
      <c r="C755" s="286" t="s">
        <v>8</v>
      </c>
      <c r="D755" s="287">
        <v>4</v>
      </c>
      <c r="E755" s="288"/>
      <c r="F755" s="452"/>
      <c r="G755" s="457">
        <f t="shared" ref="G755:G757" si="108">+D755*E755+D755*F755</f>
        <v>0</v>
      </c>
    </row>
    <row r="756" spans="1:7" ht="12.75" x14ac:dyDescent="0.2">
      <c r="A756" s="448"/>
      <c r="B756" s="454" t="s">
        <v>397</v>
      </c>
      <c r="C756" s="286" t="s">
        <v>8</v>
      </c>
      <c r="D756" s="287">
        <v>3</v>
      </c>
      <c r="E756" s="288"/>
      <c r="F756" s="452"/>
      <c r="G756" s="457">
        <f t="shared" si="108"/>
        <v>0</v>
      </c>
    </row>
    <row r="757" spans="1:7" ht="12.75" x14ac:dyDescent="0.2">
      <c r="A757" s="448"/>
      <c r="B757" s="454" t="s">
        <v>398</v>
      </c>
      <c r="C757" s="286" t="s">
        <v>8</v>
      </c>
      <c r="D757" s="287">
        <v>6</v>
      </c>
      <c r="E757" s="288"/>
      <c r="F757" s="452"/>
      <c r="G757" s="457">
        <f t="shared" si="108"/>
        <v>0</v>
      </c>
    </row>
    <row r="758" spans="1:7" ht="12.75" x14ac:dyDescent="0.2">
      <c r="A758" s="448"/>
      <c r="B758" s="454" t="s">
        <v>399</v>
      </c>
      <c r="C758" s="286" t="s">
        <v>8</v>
      </c>
      <c r="D758" s="287">
        <f>D749</f>
        <v>12</v>
      </c>
      <c r="E758" s="288"/>
      <c r="F758" s="452"/>
      <c r="G758" s="457">
        <f t="shared" si="103"/>
        <v>0</v>
      </c>
    </row>
    <row r="759" spans="1:7" ht="12.75" x14ac:dyDescent="0.2">
      <c r="A759" s="448"/>
      <c r="B759" s="454" t="s">
        <v>400</v>
      </c>
      <c r="C759" s="286" t="s">
        <v>8</v>
      </c>
      <c r="D759" s="287">
        <v>3</v>
      </c>
      <c r="E759" s="288"/>
      <c r="F759" s="452"/>
      <c r="G759" s="457">
        <f t="shared" ref="G759" si="109">+D759*E759+D759*F759</f>
        <v>0</v>
      </c>
    </row>
    <row r="760" spans="1:7" ht="12.75" x14ac:dyDescent="0.2">
      <c r="A760" s="448"/>
      <c r="B760" s="454" t="s">
        <v>401</v>
      </c>
      <c r="C760" s="286" t="s">
        <v>8</v>
      </c>
      <c r="D760" s="287">
        <v>3</v>
      </c>
      <c r="E760" s="288"/>
      <c r="F760" s="452"/>
      <c r="G760" s="457">
        <f t="shared" si="103"/>
        <v>0</v>
      </c>
    </row>
    <row r="761" spans="1:7" ht="12.75" x14ac:dyDescent="0.2">
      <c r="A761" s="448"/>
      <c r="B761" s="454" t="s">
        <v>402</v>
      </c>
      <c r="C761" s="286" t="s">
        <v>8</v>
      </c>
      <c r="D761" s="287">
        <v>3</v>
      </c>
      <c r="E761" s="288"/>
      <c r="F761" s="452"/>
      <c r="G761" s="457">
        <f t="shared" ref="G761:G764" si="110">+D761*E761+D761*F761</f>
        <v>0</v>
      </c>
    </row>
    <row r="762" spans="1:7" ht="12.75" x14ac:dyDescent="0.2">
      <c r="A762" s="448"/>
      <c r="B762" s="454" t="s">
        <v>434</v>
      </c>
      <c r="C762" s="286" t="s">
        <v>8</v>
      </c>
      <c r="D762" s="287">
        <v>7</v>
      </c>
      <c r="E762" s="288"/>
      <c r="F762" s="452"/>
      <c r="G762" s="457">
        <f t="shared" si="110"/>
        <v>0</v>
      </c>
    </row>
    <row r="763" spans="1:7" ht="12.75" x14ac:dyDescent="0.2">
      <c r="A763" s="448"/>
      <c r="B763" s="454" t="s">
        <v>404</v>
      </c>
      <c r="C763" s="286" t="s">
        <v>8</v>
      </c>
      <c r="D763" s="287">
        <v>6</v>
      </c>
      <c r="E763" s="288"/>
      <c r="F763" s="452"/>
      <c r="G763" s="457">
        <f t="shared" si="110"/>
        <v>0</v>
      </c>
    </row>
    <row r="764" spans="1:7" ht="12.75" x14ac:dyDescent="0.2">
      <c r="A764" s="448"/>
      <c r="B764" s="454" t="s">
        <v>435</v>
      </c>
      <c r="C764" s="286" t="s">
        <v>8</v>
      </c>
      <c r="D764" s="287">
        <v>3</v>
      </c>
      <c r="E764" s="288"/>
      <c r="F764" s="452"/>
      <c r="G764" s="457">
        <f t="shared" si="110"/>
        <v>0</v>
      </c>
    </row>
    <row r="765" spans="1:7" ht="12.75" x14ac:dyDescent="0.2">
      <c r="A765" s="446" t="s">
        <v>191</v>
      </c>
      <c r="B765" s="447" t="s">
        <v>241</v>
      </c>
      <c r="C765" s="455"/>
      <c r="D765" s="456"/>
      <c r="E765" s="288"/>
      <c r="F765" s="452"/>
      <c r="G765" s="457">
        <f t="shared" si="103"/>
        <v>0</v>
      </c>
    </row>
    <row r="766" spans="1:7" ht="13.5" x14ac:dyDescent="0.2">
      <c r="A766" s="177" t="s">
        <v>177</v>
      </c>
      <c r="B766" s="344" t="s">
        <v>264</v>
      </c>
      <c r="C766" s="383" t="s">
        <v>242</v>
      </c>
      <c r="D766" s="180">
        <f>D745+D748+D749+D747+D746+D750</f>
        <v>62</v>
      </c>
      <c r="E766" s="181"/>
      <c r="F766" s="452"/>
      <c r="G766" s="457">
        <f t="shared" si="103"/>
        <v>0</v>
      </c>
    </row>
    <row r="767" spans="1:7" ht="13.5" x14ac:dyDescent="0.2">
      <c r="A767" s="177" t="s">
        <v>178</v>
      </c>
      <c r="B767" s="344" t="s">
        <v>263</v>
      </c>
      <c r="C767" s="383" t="s">
        <v>242</v>
      </c>
      <c r="D767" s="180">
        <f>D751+D752+D753+D754</f>
        <v>33</v>
      </c>
      <c r="E767" s="181"/>
      <c r="F767" s="452"/>
      <c r="G767" s="457">
        <f t="shared" si="103"/>
        <v>0</v>
      </c>
    </row>
    <row r="768" spans="1:7" ht="13.5" x14ac:dyDescent="0.2">
      <c r="A768" s="177" t="s">
        <v>191</v>
      </c>
      <c r="B768" s="344" t="s">
        <v>265</v>
      </c>
      <c r="C768" s="383" t="s">
        <v>113</v>
      </c>
      <c r="D768" s="180">
        <f>D743</f>
        <v>1</v>
      </c>
      <c r="E768" s="181"/>
      <c r="F768" s="452"/>
      <c r="G768" s="457">
        <f t="shared" si="103"/>
        <v>0</v>
      </c>
    </row>
    <row r="769" spans="1:7" x14ac:dyDescent="0.2">
      <c r="A769" s="177" t="s">
        <v>192</v>
      </c>
      <c r="B769" s="344" t="s">
        <v>484</v>
      </c>
      <c r="C769" s="383" t="s">
        <v>113</v>
      </c>
      <c r="D769" s="180">
        <f>D761</f>
        <v>3</v>
      </c>
      <c r="E769" s="181"/>
      <c r="F769" s="452"/>
      <c r="G769" s="457">
        <f t="shared" si="103"/>
        <v>0</v>
      </c>
    </row>
    <row r="770" spans="1:7" x14ac:dyDescent="0.2">
      <c r="A770" s="177" t="s">
        <v>193</v>
      </c>
      <c r="B770" s="344" t="s">
        <v>483</v>
      </c>
      <c r="C770" s="383" t="s">
        <v>113</v>
      </c>
      <c r="D770" s="180">
        <f>D759</f>
        <v>3</v>
      </c>
      <c r="E770" s="181"/>
      <c r="F770" s="452"/>
      <c r="G770" s="457">
        <f t="shared" si="103"/>
        <v>0</v>
      </c>
    </row>
    <row r="771" spans="1:7" x14ac:dyDescent="0.2">
      <c r="A771" s="177" t="s">
        <v>194</v>
      </c>
      <c r="B771" s="344" t="s">
        <v>482</v>
      </c>
      <c r="C771" s="383" t="s">
        <v>113</v>
      </c>
      <c r="D771" s="180">
        <f>D760</f>
        <v>3</v>
      </c>
      <c r="E771" s="181"/>
      <c r="F771" s="452"/>
      <c r="G771" s="457">
        <f t="shared" ref="G771" si="111">+D771*E771+D771*F771</f>
        <v>0</v>
      </c>
    </row>
    <row r="772" spans="1:7" ht="12.75" customHeight="1" x14ac:dyDescent="0.2">
      <c r="A772" s="177" t="s">
        <v>195</v>
      </c>
      <c r="B772" s="344" t="s">
        <v>481</v>
      </c>
      <c r="C772" s="383" t="s">
        <v>113</v>
      </c>
      <c r="D772" s="180">
        <f>D761</f>
        <v>3</v>
      </c>
      <c r="E772" s="181"/>
      <c r="F772" s="452"/>
      <c r="G772" s="457">
        <f t="shared" ref="G772:G773" si="112">+D772*E772+D772*F772</f>
        <v>0</v>
      </c>
    </row>
    <row r="773" spans="1:7" ht="12.75" thickBot="1" x14ac:dyDescent="0.25">
      <c r="A773" s="329" t="s">
        <v>196</v>
      </c>
      <c r="B773" s="435" t="s">
        <v>485</v>
      </c>
      <c r="C773" s="436" t="s">
        <v>113</v>
      </c>
      <c r="D773" s="331">
        <f>D762</f>
        <v>7</v>
      </c>
      <c r="E773" s="199"/>
      <c r="F773" s="458"/>
      <c r="G773" s="459">
        <f t="shared" si="112"/>
        <v>0</v>
      </c>
    </row>
    <row r="774" spans="1:7" x14ac:dyDescent="0.2">
      <c r="A774" s="177"/>
      <c r="B774" s="344"/>
      <c r="C774" s="383"/>
      <c r="D774" s="180"/>
      <c r="E774" s="181"/>
      <c r="F774" s="452"/>
      <c r="G774" s="457"/>
    </row>
    <row r="775" spans="1:7" x14ac:dyDescent="0.2">
      <c r="A775" s="177"/>
      <c r="B775" s="344"/>
      <c r="C775" s="383"/>
      <c r="D775" s="180"/>
      <c r="E775" s="181"/>
      <c r="F775" s="452"/>
      <c r="G775" s="457"/>
    </row>
    <row r="776" spans="1:7" x14ac:dyDescent="0.2">
      <c r="A776" s="460" t="s">
        <v>161</v>
      </c>
      <c r="B776" s="461" t="s">
        <v>69</v>
      </c>
      <c r="C776" s="462"/>
      <c r="D776" s="463"/>
      <c r="E776" s="464"/>
      <c r="F776" s="465"/>
      <c r="G776" s="466"/>
    </row>
    <row r="777" spans="1:7" ht="12.75" x14ac:dyDescent="0.2">
      <c r="A777" s="446" t="s">
        <v>177</v>
      </c>
      <c r="B777" s="447" t="s">
        <v>239</v>
      </c>
      <c r="C777" s="286"/>
      <c r="D777" s="287"/>
      <c r="E777" s="288"/>
      <c r="F777" s="235"/>
      <c r="G777" s="236">
        <f>D777*E777</f>
        <v>0</v>
      </c>
    </row>
    <row r="778" spans="1:7" ht="25.5" x14ac:dyDescent="0.2">
      <c r="A778" s="448" t="s">
        <v>201</v>
      </c>
      <c r="B778" s="454" t="s">
        <v>262</v>
      </c>
      <c r="C778" s="450" t="s">
        <v>8</v>
      </c>
      <c r="D778" s="451">
        <v>1</v>
      </c>
      <c r="E778" s="288"/>
      <c r="F778" s="452"/>
      <c r="G778" s="453">
        <f t="shared" ref="G778:G809" si="113">+D778*E778+D778*F778</f>
        <v>0</v>
      </c>
    </row>
    <row r="779" spans="1:7" ht="12.75" x14ac:dyDescent="0.2">
      <c r="A779" s="446" t="s">
        <v>178</v>
      </c>
      <c r="B779" s="447" t="s">
        <v>240</v>
      </c>
      <c r="C779" s="455"/>
      <c r="D779" s="456"/>
      <c r="E779" s="288"/>
      <c r="F779" s="452"/>
      <c r="G779" s="457">
        <f t="shared" si="113"/>
        <v>0</v>
      </c>
    </row>
    <row r="780" spans="1:7" ht="12.75" x14ac:dyDescent="0.2">
      <c r="A780" s="448"/>
      <c r="B780" s="454" t="s">
        <v>391</v>
      </c>
      <c r="C780" s="286" t="s">
        <v>8</v>
      </c>
      <c r="D780" s="287">
        <v>24</v>
      </c>
      <c r="E780" s="288"/>
      <c r="F780" s="452"/>
      <c r="G780" s="457">
        <f t="shared" si="113"/>
        <v>0</v>
      </c>
    </row>
    <row r="781" spans="1:7" ht="12.75" x14ac:dyDescent="0.2">
      <c r="A781" s="448"/>
      <c r="B781" s="454" t="s">
        <v>406</v>
      </c>
      <c r="C781" s="286" t="s">
        <v>8</v>
      </c>
      <c r="D781" s="287">
        <v>2</v>
      </c>
      <c r="E781" s="288"/>
      <c r="F781" s="452"/>
      <c r="G781" s="457">
        <f t="shared" ref="G781" si="114">+D781*E781+D781*F781</f>
        <v>0</v>
      </c>
    </row>
    <row r="782" spans="1:7" ht="12.75" x14ac:dyDescent="0.2">
      <c r="A782" s="448"/>
      <c r="B782" s="454" t="s">
        <v>392</v>
      </c>
      <c r="C782" s="286" t="s">
        <v>8</v>
      </c>
      <c r="D782" s="287">
        <v>9</v>
      </c>
      <c r="E782" s="288"/>
      <c r="F782" s="452"/>
      <c r="G782" s="457">
        <f t="shared" si="113"/>
        <v>0</v>
      </c>
    </row>
    <row r="783" spans="1:7" ht="12.75" x14ac:dyDescent="0.2">
      <c r="A783" s="448"/>
      <c r="B783" s="454" t="s">
        <v>308</v>
      </c>
      <c r="C783" s="286" t="s">
        <v>8</v>
      </c>
      <c r="D783" s="287">
        <v>6</v>
      </c>
      <c r="E783" s="288"/>
      <c r="F783" s="452"/>
      <c r="G783" s="457">
        <f t="shared" si="113"/>
        <v>0</v>
      </c>
    </row>
    <row r="784" spans="1:7" ht="12.75" x14ac:dyDescent="0.2">
      <c r="A784" s="448"/>
      <c r="B784" s="454" t="s">
        <v>291</v>
      </c>
      <c r="C784" s="286" t="s">
        <v>8</v>
      </c>
      <c r="D784" s="287">
        <v>13</v>
      </c>
      <c r="E784" s="288"/>
      <c r="F784" s="452"/>
      <c r="G784" s="457">
        <f t="shared" si="113"/>
        <v>0</v>
      </c>
    </row>
    <row r="785" spans="1:7" ht="12.75" x14ac:dyDescent="0.2">
      <c r="A785" s="448"/>
      <c r="B785" s="454" t="s">
        <v>480</v>
      </c>
      <c r="C785" s="286" t="s">
        <v>8</v>
      </c>
      <c r="D785" s="287">
        <v>2</v>
      </c>
      <c r="E785" s="288"/>
      <c r="F785" s="452"/>
      <c r="G785" s="457">
        <f t="shared" si="113"/>
        <v>0</v>
      </c>
    </row>
    <row r="786" spans="1:7" ht="12.75" x14ac:dyDescent="0.2">
      <c r="A786" s="448"/>
      <c r="B786" s="454" t="s">
        <v>393</v>
      </c>
      <c r="C786" s="450" t="s">
        <v>8</v>
      </c>
      <c r="D786" s="451">
        <v>3</v>
      </c>
      <c r="E786" s="288"/>
      <c r="F786" s="452"/>
      <c r="G786" s="457">
        <f t="shared" si="113"/>
        <v>0</v>
      </c>
    </row>
    <row r="787" spans="1:7" ht="12.75" x14ac:dyDescent="0.2">
      <c r="A787" s="448"/>
      <c r="B787" s="454" t="s">
        <v>394</v>
      </c>
      <c r="C787" s="450" t="s">
        <v>8</v>
      </c>
      <c r="D787" s="451">
        <v>20</v>
      </c>
      <c r="E787" s="288"/>
      <c r="F787" s="452"/>
      <c r="G787" s="457">
        <f t="shared" si="113"/>
        <v>0</v>
      </c>
    </row>
    <row r="788" spans="1:7" ht="12.75" x14ac:dyDescent="0.2">
      <c r="A788" s="448"/>
      <c r="B788" s="454" t="s">
        <v>395</v>
      </c>
      <c r="C788" s="450" t="s">
        <v>8</v>
      </c>
      <c r="D788" s="451">
        <v>12</v>
      </c>
      <c r="E788" s="288"/>
      <c r="F788" s="452"/>
      <c r="G788" s="457">
        <f t="shared" si="113"/>
        <v>0</v>
      </c>
    </row>
    <row r="789" spans="1:7" ht="12.75" x14ac:dyDescent="0.2">
      <c r="A789" s="448"/>
      <c r="B789" s="454" t="s">
        <v>478</v>
      </c>
      <c r="C789" s="450" t="s">
        <v>8</v>
      </c>
      <c r="D789" s="451">
        <v>5</v>
      </c>
      <c r="E789" s="288"/>
      <c r="F789" s="452"/>
      <c r="G789" s="457">
        <f t="shared" si="113"/>
        <v>0</v>
      </c>
    </row>
    <row r="790" spans="1:7" ht="12.75" x14ac:dyDescent="0.2">
      <c r="A790" s="448"/>
      <c r="B790" s="454" t="s">
        <v>396</v>
      </c>
      <c r="C790" s="286" t="s">
        <v>8</v>
      </c>
      <c r="D790" s="287">
        <v>4</v>
      </c>
      <c r="E790" s="288"/>
      <c r="F790" s="452"/>
      <c r="G790" s="457">
        <f t="shared" si="113"/>
        <v>0</v>
      </c>
    </row>
    <row r="791" spans="1:7" ht="12.75" x14ac:dyDescent="0.2">
      <c r="A791" s="448"/>
      <c r="B791" s="454" t="s">
        <v>397</v>
      </c>
      <c r="C791" s="286" t="s">
        <v>8</v>
      </c>
      <c r="D791" s="287">
        <v>3</v>
      </c>
      <c r="E791" s="288"/>
      <c r="F791" s="452"/>
      <c r="G791" s="457">
        <f t="shared" si="113"/>
        <v>0</v>
      </c>
    </row>
    <row r="792" spans="1:7" ht="12.75" x14ac:dyDescent="0.2">
      <c r="A792" s="448"/>
      <c r="B792" s="454" t="s">
        <v>398</v>
      </c>
      <c r="C792" s="286" t="s">
        <v>8</v>
      </c>
      <c r="D792" s="287">
        <v>6</v>
      </c>
      <c r="E792" s="288"/>
      <c r="F792" s="452"/>
      <c r="G792" s="457">
        <f t="shared" si="113"/>
        <v>0</v>
      </c>
    </row>
    <row r="793" spans="1:7" ht="12.75" x14ac:dyDescent="0.2">
      <c r="A793" s="448"/>
      <c r="B793" s="454" t="s">
        <v>399</v>
      </c>
      <c r="C793" s="286" t="s">
        <v>8</v>
      </c>
      <c r="D793" s="287">
        <f>D784</f>
        <v>13</v>
      </c>
      <c r="E793" s="288"/>
      <c r="F793" s="452"/>
      <c r="G793" s="457">
        <f t="shared" si="113"/>
        <v>0</v>
      </c>
    </row>
    <row r="794" spans="1:7" ht="12.75" x14ac:dyDescent="0.2">
      <c r="A794" s="448"/>
      <c r="B794" s="454" t="s">
        <v>400</v>
      </c>
      <c r="C794" s="286" t="s">
        <v>8</v>
      </c>
      <c r="D794" s="287">
        <v>3</v>
      </c>
      <c r="E794" s="288"/>
      <c r="F794" s="452"/>
      <c r="G794" s="457">
        <f t="shared" si="113"/>
        <v>0</v>
      </c>
    </row>
    <row r="795" spans="1:7" ht="12.75" x14ac:dyDescent="0.2">
      <c r="A795" s="448"/>
      <c r="B795" s="454" t="s">
        <v>401</v>
      </c>
      <c r="C795" s="286" t="s">
        <v>8</v>
      </c>
      <c r="D795" s="287">
        <v>3</v>
      </c>
      <c r="E795" s="288"/>
      <c r="F795" s="452"/>
      <c r="G795" s="457">
        <f t="shared" si="113"/>
        <v>0</v>
      </c>
    </row>
    <row r="796" spans="1:7" ht="12.75" x14ac:dyDescent="0.2">
      <c r="A796" s="448"/>
      <c r="B796" s="454" t="s">
        <v>402</v>
      </c>
      <c r="C796" s="286" t="s">
        <v>8</v>
      </c>
      <c r="D796" s="287">
        <v>3</v>
      </c>
      <c r="E796" s="288"/>
      <c r="F796" s="452"/>
      <c r="G796" s="457">
        <f t="shared" si="113"/>
        <v>0</v>
      </c>
    </row>
    <row r="797" spans="1:7" ht="12.75" x14ac:dyDescent="0.2">
      <c r="A797" s="448"/>
      <c r="B797" s="454" t="s">
        <v>403</v>
      </c>
      <c r="C797" s="286" t="s">
        <v>8</v>
      </c>
      <c r="D797" s="287">
        <v>7</v>
      </c>
      <c r="E797" s="288"/>
      <c r="F797" s="452"/>
      <c r="G797" s="457">
        <f t="shared" si="113"/>
        <v>0</v>
      </c>
    </row>
    <row r="798" spans="1:7" ht="12.75" x14ac:dyDescent="0.2">
      <c r="A798" s="448"/>
      <c r="B798" s="454" t="s">
        <v>404</v>
      </c>
      <c r="C798" s="286" t="s">
        <v>8</v>
      </c>
      <c r="D798" s="287">
        <v>6</v>
      </c>
      <c r="E798" s="288"/>
      <c r="F798" s="452"/>
      <c r="G798" s="457">
        <f t="shared" si="113"/>
        <v>0</v>
      </c>
    </row>
    <row r="799" spans="1:7" ht="12.75" x14ac:dyDescent="0.2">
      <c r="A799" s="448"/>
      <c r="B799" s="454" t="s">
        <v>405</v>
      </c>
      <c r="C799" s="286" t="s">
        <v>8</v>
      </c>
      <c r="D799" s="287">
        <v>3</v>
      </c>
      <c r="E799" s="288"/>
      <c r="F799" s="452"/>
      <c r="G799" s="457">
        <f t="shared" si="113"/>
        <v>0</v>
      </c>
    </row>
    <row r="800" spans="1:7" ht="12.75" x14ac:dyDescent="0.2">
      <c r="A800" s="448"/>
      <c r="B800" s="454"/>
      <c r="C800" s="286"/>
      <c r="D800" s="287"/>
      <c r="E800" s="288"/>
      <c r="F800" s="452"/>
      <c r="G800" s="457"/>
    </row>
    <row r="801" spans="1:7" ht="12.75" x14ac:dyDescent="0.2">
      <c r="A801" s="446" t="s">
        <v>191</v>
      </c>
      <c r="B801" s="447" t="s">
        <v>241</v>
      </c>
      <c r="C801" s="455"/>
      <c r="D801" s="456"/>
      <c r="E801" s="288"/>
      <c r="F801" s="452"/>
      <c r="G801" s="457">
        <f t="shared" si="113"/>
        <v>0</v>
      </c>
    </row>
    <row r="802" spans="1:7" ht="13.5" x14ac:dyDescent="0.2">
      <c r="A802" s="177" t="s">
        <v>177</v>
      </c>
      <c r="B802" s="344" t="s">
        <v>264</v>
      </c>
      <c r="C802" s="383" t="s">
        <v>242</v>
      </c>
      <c r="D802" s="180">
        <f>D780+D781+D784+D783+D782+D785</f>
        <v>56</v>
      </c>
      <c r="E802" s="181"/>
      <c r="F802" s="452"/>
      <c r="G802" s="457">
        <f t="shared" si="113"/>
        <v>0</v>
      </c>
    </row>
    <row r="803" spans="1:7" ht="13.5" x14ac:dyDescent="0.2">
      <c r="A803" s="177" t="s">
        <v>178</v>
      </c>
      <c r="B803" s="344" t="s">
        <v>263</v>
      </c>
      <c r="C803" s="383" t="s">
        <v>242</v>
      </c>
      <c r="D803" s="180">
        <f>D786+D787+D788+D789</f>
        <v>40</v>
      </c>
      <c r="E803" s="181"/>
      <c r="F803" s="452"/>
      <c r="G803" s="457">
        <f t="shared" si="113"/>
        <v>0</v>
      </c>
    </row>
    <row r="804" spans="1:7" ht="13.5" x14ac:dyDescent="0.2">
      <c r="A804" s="177" t="s">
        <v>191</v>
      </c>
      <c r="B804" s="344" t="s">
        <v>265</v>
      </c>
      <c r="C804" s="383" t="s">
        <v>113</v>
      </c>
      <c r="D804" s="180">
        <f>D778</f>
        <v>1</v>
      </c>
      <c r="E804" s="181"/>
      <c r="F804" s="452"/>
      <c r="G804" s="457">
        <f t="shared" si="113"/>
        <v>0</v>
      </c>
    </row>
    <row r="805" spans="1:7" x14ac:dyDescent="0.2">
      <c r="A805" s="177" t="s">
        <v>192</v>
      </c>
      <c r="B805" s="344" t="s">
        <v>484</v>
      </c>
      <c r="C805" s="383" t="s">
        <v>113</v>
      </c>
      <c r="D805" s="180">
        <f>D796</f>
        <v>3</v>
      </c>
      <c r="E805" s="181"/>
      <c r="F805" s="452"/>
      <c r="G805" s="457">
        <f t="shared" si="113"/>
        <v>0</v>
      </c>
    </row>
    <row r="806" spans="1:7" x14ac:dyDescent="0.2">
      <c r="A806" s="177" t="s">
        <v>193</v>
      </c>
      <c r="B806" s="344" t="s">
        <v>483</v>
      </c>
      <c r="C806" s="383" t="s">
        <v>113</v>
      </c>
      <c r="D806" s="180">
        <f>D794</f>
        <v>3</v>
      </c>
      <c r="E806" s="181"/>
      <c r="F806" s="452"/>
      <c r="G806" s="457">
        <f t="shared" si="113"/>
        <v>0</v>
      </c>
    </row>
    <row r="807" spans="1:7" x14ac:dyDescent="0.2">
      <c r="A807" s="177" t="s">
        <v>194</v>
      </c>
      <c r="B807" s="344" t="s">
        <v>482</v>
      </c>
      <c r="C807" s="383" t="s">
        <v>113</v>
      </c>
      <c r="D807" s="180">
        <f>D795</f>
        <v>3</v>
      </c>
      <c r="E807" s="181"/>
      <c r="F807" s="452"/>
      <c r="G807" s="457">
        <f t="shared" si="113"/>
        <v>0</v>
      </c>
    </row>
    <row r="808" spans="1:7" ht="12" customHeight="1" x14ac:dyDescent="0.2">
      <c r="A808" s="177" t="s">
        <v>195</v>
      </c>
      <c r="B808" s="344" t="s">
        <v>481</v>
      </c>
      <c r="C808" s="383" t="s">
        <v>113</v>
      </c>
      <c r="D808" s="180">
        <v>3</v>
      </c>
      <c r="E808" s="181"/>
      <c r="F808" s="452"/>
      <c r="G808" s="457">
        <f t="shared" si="113"/>
        <v>0</v>
      </c>
    </row>
    <row r="809" spans="1:7" x14ac:dyDescent="0.2">
      <c r="A809" s="177" t="s">
        <v>196</v>
      </c>
      <c r="B809" s="344" t="s">
        <v>485</v>
      </c>
      <c r="C809" s="383" t="s">
        <v>113</v>
      </c>
      <c r="D809" s="180">
        <f>D797</f>
        <v>7</v>
      </c>
      <c r="E809" s="181"/>
      <c r="F809" s="452"/>
      <c r="G809" s="457">
        <f t="shared" si="113"/>
        <v>0</v>
      </c>
    </row>
    <row r="810" spans="1:7" x14ac:dyDescent="0.2">
      <c r="A810" s="177"/>
      <c r="B810" s="344"/>
      <c r="C810" s="383"/>
      <c r="D810" s="180"/>
      <c r="E810" s="181"/>
      <c r="F810" s="452"/>
      <c r="G810" s="457"/>
    </row>
    <row r="811" spans="1:7" ht="12.75" x14ac:dyDescent="0.2">
      <c r="A811" s="448"/>
      <c r="B811" s="454"/>
      <c r="C811" s="450"/>
      <c r="D811" s="451"/>
      <c r="E811" s="288"/>
      <c r="F811" s="452"/>
      <c r="G811" s="457"/>
    </row>
    <row r="812" spans="1:7" ht="12.75" x14ac:dyDescent="0.2">
      <c r="A812" s="448"/>
      <c r="B812" s="454"/>
      <c r="C812" s="450"/>
      <c r="D812" s="451"/>
      <c r="E812" s="288"/>
      <c r="F812" s="452"/>
      <c r="G812" s="457"/>
    </row>
    <row r="813" spans="1:7" ht="12.75" x14ac:dyDescent="0.2">
      <c r="A813" s="448"/>
      <c r="B813" s="454"/>
      <c r="C813" s="450"/>
      <c r="D813" s="451"/>
      <c r="E813" s="288"/>
      <c r="F813" s="452"/>
      <c r="G813" s="457"/>
    </row>
    <row r="814" spans="1:7" ht="12.75" x14ac:dyDescent="0.2">
      <c r="A814" s="448"/>
      <c r="B814" s="454"/>
      <c r="C814" s="450"/>
      <c r="D814" s="451"/>
      <c r="E814" s="288"/>
      <c r="F814" s="452"/>
      <c r="G814" s="457"/>
    </row>
    <row r="815" spans="1:7" ht="12.75" x14ac:dyDescent="0.2">
      <c r="A815" s="448"/>
      <c r="B815" s="454"/>
      <c r="C815" s="450"/>
      <c r="D815" s="451"/>
      <c r="E815" s="288"/>
      <c r="F815" s="452"/>
      <c r="G815" s="457"/>
    </row>
    <row r="816" spans="1:7" ht="12.75" x14ac:dyDescent="0.2">
      <c r="A816" s="448"/>
      <c r="B816" s="454"/>
      <c r="C816" s="450"/>
      <c r="D816" s="451"/>
      <c r="E816" s="288"/>
      <c r="F816" s="452"/>
      <c r="G816" s="457"/>
    </row>
    <row r="817" spans="1:9" ht="12.75" x14ac:dyDescent="0.2">
      <c r="A817" s="448"/>
      <c r="B817" s="454"/>
      <c r="C817" s="450"/>
      <c r="D817" s="451"/>
      <c r="E817" s="288"/>
      <c r="F817" s="452"/>
      <c r="G817" s="457"/>
    </row>
    <row r="818" spans="1:9" ht="12.75" x14ac:dyDescent="0.2">
      <c r="A818" s="448"/>
      <c r="B818" s="454"/>
      <c r="C818" s="450"/>
      <c r="D818" s="451"/>
      <c r="E818" s="288"/>
      <c r="F818" s="452"/>
      <c r="G818" s="457"/>
    </row>
    <row r="819" spans="1:9" ht="12.75" x14ac:dyDescent="0.2">
      <c r="A819" s="448"/>
      <c r="B819" s="454"/>
      <c r="C819" s="450"/>
      <c r="D819" s="451"/>
      <c r="E819" s="288"/>
      <c r="F819" s="452"/>
      <c r="G819" s="457"/>
    </row>
    <row r="820" spans="1:9" ht="12.75" x14ac:dyDescent="0.2">
      <c r="A820" s="448"/>
      <c r="B820" s="454"/>
      <c r="C820" s="450"/>
      <c r="D820" s="451"/>
      <c r="E820" s="288"/>
      <c r="F820" s="452"/>
      <c r="G820" s="457"/>
    </row>
    <row r="821" spans="1:9" ht="12.75" x14ac:dyDescent="0.2">
      <c r="A821" s="448"/>
      <c r="B821" s="454"/>
      <c r="C821" s="450"/>
      <c r="D821" s="451"/>
      <c r="E821" s="288"/>
      <c r="F821" s="452"/>
      <c r="G821" s="457"/>
    </row>
    <row r="822" spans="1:9" ht="12.75" x14ac:dyDescent="0.2">
      <c r="A822" s="448"/>
      <c r="B822" s="454"/>
      <c r="C822" s="450"/>
      <c r="D822" s="451"/>
      <c r="E822" s="288"/>
      <c r="F822" s="452"/>
      <c r="G822" s="457"/>
    </row>
    <row r="823" spans="1:9" ht="12.75" x14ac:dyDescent="0.2">
      <c r="A823" s="448"/>
      <c r="B823" s="454"/>
      <c r="C823" s="450"/>
      <c r="D823" s="451"/>
      <c r="E823" s="288"/>
      <c r="F823" s="452"/>
      <c r="G823" s="457"/>
    </row>
    <row r="824" spans="1:9" ht="12.75" x14ac:dyDescent="0.2">
      <c r="A824" s="448"/>
      <c r="B824" s="454"/>
      <c r="C824" s="450"/>
      <c r="D824" s="451"/>
      <c r="E824" s="288"/>
      <c r="F824" s="452"/>
      <c r="G824" s="457"/>
    </row>
    <row r="825" spans="1:9" ht="12.75" x14ac:dyDescent="0.2">
      <c r="A825" s="448"/>
      <c r="B825" s="454"/>
      <c r="C825" s="450"/>
      <c r="D825" s="451"/>
      <c r="E825" s="288"/>
      <c r="F825" s="452"/>
      <c r="G825" s="457"/>
    </row>
    <row r="826" spans="1:9" ht="12" customHeight="1" thickBot="1" x14ac:dyDescent="0.25">
      <c r="A826" s="448"/>
      <c r="B826" s="454"/>
      <c r="C826" s="450"/>
      <c r="D826" s="451"/>
      <c r="E826" s="288"/>
      <c r="F826" s="452"/>
      <c r="G826" s="457"/>
    </row>
    <row r="827" spans="1:9" x14ac:dyDescent="0.2">
      <c r="A827" s="153"/>
      <c r="B827" s="154" t="s">
        <v>199</v>
      </c>
      <c r="C827" s="467"/>
      <c r="D827" s="468"/>
      <c r="E827" s="469"/>
      <c r="F827" s="275"/>
      <c r="G827" s="210"/>
    </row>
    <row r="828" spans="1:9" ht="12.75" thickBot="1" x14ac:dyDescent="0.25">
      <c r="A828" s="159"/>
      <c r="B828" s="142" t="s">
        <v>140</v>
      </c>
      <c r="C828" s="143"/>
      <c r="D828" s="168"/>
      <c r="E828" s="145"/>
      <c r="F828" s="276"/>
      <c r="G828" s="146">
        <f>SUM(G742:G827)</f>
        <v>0</v>
      </c>
      <c r="I828" s="51"/>
    </row>
    <row r="829" spans="1:9" x14ac:dyDescent="0.2">
      <c r="A829" s="153"/>
      <c r="B829" s="154"/>
      <c r="C829" s="467"/>
      <c r="D829" s="468"/>
      <c r="E829" s="469"/>
      <c r="F829" s="209"/>
      <c r="G829" s="470"/>
      <c r="I829" s="51"/>
    </row>
    <row r="830" spans="1:9" x14ac:dyDescent="0.2">
      <c r="A830" s="136"/>
      <c r="B830" s="100" t="s">
        <v>416</v>
      </c>
      <c r="C830" s="74"/>
      <c r="D830" s="99"/>
      <c r="E830" s="69"/>
      <c r="F830" s="49"/>
      <c r="G830" s="75"/>
    </row>
    <row r="831" spans="1:9" x14ac:dyDescent="0.2">
      <c r="A831" s="136"/>
      <c r="B831" s="66" t="s">
        <v>415</v>
      </c>
      <c r="C831" s="74"/>
      <c r="D831" s="99"/>
      <c r="E831" s="69"/>
      <c r="F831" s="49"/>
      <c r="G831" s="75"/>
    </row>
    <row r="832" spans="1:9" x14ac:dyDescent="0.2">
      <c r="A832" s="137">
        <v>12.1</v>
      </c>
      <c r="B832" s="128" t="s">
        <v>417</v>
      </c>
      <c r="C832" s="138"/>
      <c r="D832" s="139"/>
      <c r="E832" s="89"/>
      <c r="F832" s="118"/>
      <c r="G832" s="119"/>
    </row>
    <row r="833" spans="1:7" ht="62.25" customHeight="1" x14ac:dyDescent="0.2">
      <c r="A833" s="136"/>
      <c r="B833" s="120" t="s">
        <v>418</v>
      </c>
      <c r="C833" s="130"/>
      <c r="D833" s="99"/>
      <c r="E833" s="69"/>
      <c r="F833" s="49"/>
      <c r="G833" s="75"/>
    </row>
    <row r="834" spans="1:7" ht="26.25" customHeight="1" x14ac:dyDescent="0.2">
      <c r="A834" s="136"/>
      <c r="B834" s="120" t="s">
        <v>419</v>
      </c>
      <c r="C834" s="130"/>
      <c r="D834" s="99"/>
      <c r="E834" s="69"/>
      <c r="F834" s="49"/>
      <c r="G834" s="75"/>
    </row>
    <row r="835" spans="1:7" ht="24" x14ac:dyDescent="0.2">
      <c r="A835" s="136"/>
      <c r="B835" s="120" t="s">
        <v>420</v>
      </c>
      <c r="C835" s="130"/>
      <c r="D835" s="99"/>
      <c r="E835" s="69"/>
      <c r="F835" s="49"/>
      <c r="G835" s="75"/>
    </row>
    <row r="836" spans="1:7" ht="37.5" customHeight="1" thickBot="1" x14ac:dyDescent="0.25">
      <c r="A836" s="141"/>
      <c r="B836" s="471" t="s">
        <v>421</v>
      </c>
      <c r="C836" s="472"/>
      <c r="D836" s="473"/>
      <c r="E836" s="162"/>
      <c r="F836" s="144"/>
      <c r="G836" s="169"/>
    </row>
    <row r="837" spans="1:7" x14ac:dyDescent="0.2">
      <c r="A837" s="475">
        <v>12.2</v>
      </c>
      <c r="B837" s="476" t="s">
        <v>422</v>
      </c>
      <c r="C837" s="477"/>
      <c r="D837" s="478"/>
      <c r="E837" s="479"/>
      <c r="F837" s="480"/>
      <c r="G837" s="470"/>
    </row>
    <row r="838" spans="1:7" ht="24" x14ac:dyDescent="0.2">
      <c r="A838" s="481"/>
      <c r="B838" s="344" t="s">
        <v>423</v>
      </c>
      <c r="C838" s="383"/>
      <c r="D838" s="240"/>
      <c r="E838" s="181"/>
      <c r="F838" s="182"/>
      <c r="G838" s="75"/>
    </row>
    <row r="839" spans="1:7" x14ac:dyDescent="0.2">
      <c r="A839" s="482">
        <v>1</v>
      </c>
      <c r="B839" s="483" t="s">
        <v>67</v>
      </c>
      <c r="C839" s="484"/>
      <c r="D839" s="485"/>
      <c r="E839" s="486"/>
      <c r="F839" s="487"/>
      <c r="G839" s="140"/>
    </row>
    <row r="840" spans="1:7" x14ac:dyDescent="0.2">
      <c r="A840" s="488" t="s">
        <v>201</v>
      </c>
      <c r="B840" s="489" t="s">
        <v>422</v>
      </c>
      <c r="C840" s="490"/>
      <c r="D840" s="491"/>
      <c r="E840" s="398"/>
      <c r="F840" s="273"/>
      <c r="G840" s="135">
        <f t="shared" ref="G840:G848" si="115">+D840*E840+D840*F840</f>
        <v>0</v>
      </c>
    </row>
    <row r="841" spans="1:7" x14ac:dyDescent="0.2">
      <c r="A841" s="481" t="s">
        <v>177</v>
      </c>
      <c r="B841" s="344" t="s">
        <v>424</v>
      </c>
      <c r="C841" s="383" t="s">
        <v>113</v>
      </c>
      <c r="D841" s="240">
        <v>1</v>
      </c>
      <c r="E841" s="181"/>
      <c r="F841" s="182"/>
      <c r="G841" s="135">
        <f t="shared" si="115"/>
        <v>0</v>
      </c>
    </row>
    <row r="842" spans="1:7" x14ac:dyDescent="0.2">
      <c r="A842" s="481" t="s">
        <v>178</v>
      </c>
      <c r="B842" s="344" t="s">
        <v>425</v>
      </c>
      <c r="C842" s="383" t="s">
        <v>113</v>
      </c>
      <c r="D842" s="240">
        <v>1</v>
      </c>
      <c r="E842" s="181"/>
      <c r="F842" s="182"/>
      <c r="G842" s="135">
        <f t="shared" si="115"/>
        <v>0</v>
      </c>
    </row>
    <row r="843" spans="1:7" x14ac:dyDescent="0.2">
      <c r="A843" s="481" t="s">
        <v>191</v>
      </c>
      <c r="B843" s="344" t="s">
        <v>426</v>
      </c>
      <c r="C843" s="383" t="s">
        <v>113</v>
      </c>
      <c r="D843" s="240">
        <v>7</v>
      </c>
      <c r="E843" s="181"/>
      <c r="F843" s="182"/>
      <c r="G843" s="135">
        <f t="shared" si="115"/>
        <v>0</v>
      </c>
    </row>
    <row r="844" spans="1:7" ht="24" x14ac:dyDescent="0.2">
      <c r="A844" s="481" t="s">
        <v>192</v>
      </c>
      <c r="B844" s="344" t="s">
        <v>427</v>
      </c>
      <c r="C844" s="383" t="s">
        <v>113</v>
      </c>
      <c r="D844" s="240">
        <v>1</v>
      </c>
      <c r="E844" s="181"/>
      <c r="F844" s="182"/>
      <c r="G844" s="135">
        <f t="shared" si="115"/>
        <v>0</v>
      </c>
    </row>
    <row r="845" spans="1:7" x14ac:dyDescent="0.2">
      <c r="A845" s="481" t="s">
        <v>193</v>
      </c>
      <c r="B845" s="344" t="s">
        <v>428</v>
      </c>
      <c r="C845" s="383" t="s">
        <v>113</v>
      </c>
      <c r="D845" s="240">
        <v>1</v>
      </c>
      <c r="E845" s="181"/>
      <c r="F845" s="182"/>
      <c r="G845" s="135">
        <f t="shared" si="115"/>
        <v>0</v>
      </c>
    </row>
    <row r="846" spans="1:7" x14ac:dyDescent="0.2">
      <c r="A846" s="481" t="s">
        <v>194</v>
      </c>
      <c r="B846" s="344" t="s">
        <v>429</v>
      </c>
      <c r="C846" s="383" t="s">
        <v>113</v>
      </c>
      <c r="D846" s="240">
        <v>8</v>
      </c>
      <c r="E846" s="181"/>
      <c r="F846" s="182"/>
      <c r="G846" s="135">
        <f t="shared" si="115"/>
        <v>0</v>
      </c>
    </row>
    <row r="847" spans="1:7" x14ac:dyDescent="0.2">
      <c r="A847" s="481" t="s">
        <v>195</v>
      </c>
      <c r="B847" s="344" t="s">
        <v>430</v>
      </c>
      <c r="C847" s="383" t="s">
        <v>113</v>
      </c>
      <c r="D847" s="240">
        <v>1</v>
      </c>
      <c r="E847" s="181"/>
      <c r="F847" s="182"/>
      <c r="G847" s="135">
        <f t="shared" si="115"/>
        <v>0</v>
      </c>
    </row>
    <row r="848" spans="1:7" x14ac:dyDescent="0.2">
      <c r="A848" s="481" t="s">
        <v>196</v>
      </c>
      <c r="B848" s="344" t="s">
        <v>431</v>
      </c>
      <c r="C848" s="383" t="s">
        <v>113</v>
      </c>
      <c r="D848" s="240">
        <v>1</v>
      </c>
      <c r="E848" s="181"/>
      <c r="F848" s="182"/>
      <c r="G848" s="135">
        <f t="shared" si="115"/>
        <v>0</v>
      </c>
    </row>
    <row r="849" spans="1:7" x14ac:dyDescent="0.2">
      <c r="A849" s="492"/>
      <c r="B849" s="493"/>
      <c r="C849" s="494"/>
      <c r="D849" s="491"/>
      <c r="E849" s="495"/>
      <c r="F849" s="496"/>
      <c r="G849" s="135"/>
    </row>
    <row r="850" spans="1:7" x14ac:dyDescent="0.2">
      <c r="A850" s="482">
        <v>2</v>
      </c>
      <c r="B850" s="483" t="s">
        <v>69</v>
      </c>
      <c r="C850" s="484"/>
      <c r="D850" s="485"/>
      <c r="E850" s="486"/>
      <c r="F850" s="487"/>
      <c r="G850" s="140"/>
    </row>
    <row r="851" spans="1:7" x14ac:dyDescent="0.2">
      <c r="A851" s="488" t="s">
        <v>201</v>
      </c>
      <c r="B851" s="489" t="s">
        <v>422</v>
      </c>
      <c r="C851" s="490"/>
      <c r="D851" s="491"/>
      <c r="E851" s="398"/>
      <c r="F851" s="273"/>
      <c r="G851" s="135">
        <f t="shared" ref="G851:G857" si="116">+D851*E851+D851*F851</f>
        <v>0</v>
      </c>
    </row>
    <row r="852" spans="1:7" x14ac:dyDescent="0.2">
      <c r="A852" s="481" t="s">
        <v>177</v>
      </c>
      <c r="B852" s="344" t="s">
        <v>426</v>
      </c>
      <c r="C852" s="383" t="s">
        <v>113</v>
      </c>
      <c r="D852" s="240">
        <v>7</v>
      </c>
      <c r="E852" s="181"/>
      <c r="F852" s="182"/>
      <c r="G852" s="135">
        <f t="shared" si="116"/>
        <v>0</v>
      </c>
    </row>
    <row r="853" spans="1:7" ht="24" x14ac:dyDescent="0.2">
      <c r="A853" s="481" t="s">
        <v>178</v>
      </c>
      <c r="B853" s="344" t="s">
        <v>427</v>
      </c>
      <c r="C853" s="383" t="s">
        <v>113</v>
      </c>
      <c r="D853" s="240">
        <v>1</v>
      </c>
      <c r="E853" s="181"/>
      <c r="F853" s="182"/>
      <c r="G853" s="135">
        <f t="shared" si="116"/>
        <v>0</v>
      </c>
    </row>
    <row r="854" spans="1:7" x14ac:dyDescent="0.2">
      <c r="A854" s="481" t="s">
        <v>191</v>
      </c>
      <c r="B854" s="344" t="s">
        <v>428</v>
      </c>
      <c r="C854" s="383" t="s">
        <v>113</v>
      </c>
      <c r="D854" s="240">
        <v>1</v>
      </c>
      <c r="E854" s="181"/>
      <c r="F854" s="182"/>
      <c r="G854" s="135">
        <f t="shared" si="116"/>
        <v>0</v>
      </c>
    </row>
    <row r="855" spans="1:7" x14ac:dyDescent="0.2">
      <c r="A855" s="481" t="s">
        <v>192</v>
      </c>
      <c r="B855" s="344" t="s">
        <v>429</v>
      </c>
      <c r="C855" s="383" t="s">
        <v>113</v>
      </c>
      <c r="D855" s="240">
        <v>7</v>
      </c>
      <c r="E855" s="181"/>
      <c r="F855" s="182"/>
      <c r="G855" s="135">
        <f t="shared" si="116"/>
        <v>0</v>
      </c>
    </row>
    <row r="856" spans="1:7" x14ac:dyDescent="0.2">
      <c r="A856" s="481" t="s">
        <v>193</v>
      </c>
      <c r="B856" s="344" t="s">
        <v>430</v>
      </c>
      <c r="C856" s="383" t="s">
        <v>113</v>
      </c>
      <c r="D856" s="240">
        <v>1</v>
      </c>
      <c r="E856" s="181"/>
      <c r="F856" s="182"/>
      <c r="G856" s="135">
        <f t="shared" si="116"/>
        <v>0</v>
      </c>
    </row>
    <row r="857" spans="1:7" x14ac:dyDescent="0.2">
      <c r="A857" s="481" t="s">
        <v>194</v>
      </c>
      <c r="B857" s="344" t="s">
        <v>431</v>
      </c>
      <c r="C857" s="383" t="s">
        <v>113</v>
      </c>
      <c r="D857" s="240">
        <v>1</v>
      </c>
      <c r="E857" s="181"/>
      <c r="F857" s="182"/>
      <c r="G857" s="135">
        <f t="shared" si="116"/>
        <v>0</v>
      </c>
    </row>
    <row r="858" spans="1:7" x14ac:dyDescent="0.2">
      <c r="A858" s="492"/>
      <c r="B858" s="493"/>
      <c r="C858" s="494"/>
      <c r="D858" s="491"/>
      <c r="E858" s="495"/>
      <c r="F858" s="496"/>
      <c r="G858" s="135"/>
    </row>
    <row r="859" spans="1:7" x14ac:dyDescent="0.2">
      <c r="A859" s="492"/>
      <c r="B859" s="493"/>
      <c r="C859" s="494"/>
      <c r="D859" s="491"/>
      <c r="E859" s="495"/>
      <c r="F859" s="496"/>
      <c r="G859" s="135"/>
    </row>
    <row r="860" spans="1:7" x14ac:dyDescent="0.2">
      <c r="A860" s="492"/>
      <c r="B860" s="493"/>
      <c r="C860" s="494"/>
      <c r="D860" s="491"/>
      <c r="E860" s="495"/>
      <c r="F860" s="496"/>
      <c r="G860" s="135"/>
    </row>
    <row r="861" spans="1:7" x14ac:dyDescent="0.2">
      <c r="A861" s="492"/>
      <c r="B861" s="493"/>
      <c r="C861" s="494"/>
      <c r="D861" s="491"/>
      <c r="E861" s="495"/>
      <c r="F861" s="496"/>
      <c r="G861" s="135"/>
    </row>
    <row r="862" spans="1:7" x14ac:dyDescent="0.2">
      <c r="A862" s="492"/>
      <c r="B862" s="493"/>
      <c r="C862" s="494"/>
      <c r="D862" s="491"/>
      <c r="E862" s="495"/>
      <c r="F862" s="496"/>
      <c r="G862" s="135"/>
    </row>
    <row r="863" spans="1:7" x14ac:dyDescent="0.2">
      <c r="A863" s="492"/>
      <c r="B863" s="493"/>
      <c r="C863" s="494"/>
      <c r="D863" s="491"/>
      <c r="E863" s="495"/>
      <c r="F863" s="496"/>
      <c r="G863" s="135"/>
    </row>
    <row r="864" spans="1:7" x14ac:dyDescent="0.2">
      <c r="A864" s="492"/>
      <c r="B864" s="493"/>
      <c r="C864" s="494"/>
      <c r="D864" s="491"/>
      <c r="E864" s="495"/>
      <c r="F864" s="496"/>
      <c r="G864" s="135"/>
    </row>
    <row r="865" spans="1:7" x14ac:dyDescent="0.2">
      <c r="A865" s="492"/>
      <c r="B865" s="493"/>
      <c r="C865" s="494"/>
      <c r="D865" s="491"/>
      <c r="E865" s="495"/>
      <c r="F865" s="496"/>
      <c r="G865" s="135"/>
    </row>
    <row r="866" spans="1:7" x14ac:dyDescent="0.2">
      <c r="A866" s="492"/>
      <c r="B866" s="493"/>
      <c r="C866" s="494"/>
      <c r="D866" s="491"/>
      <c r="E866" s="495"/>
      <c r="F866" s="496"/>
      <c r="G866" s="135"/>
    </row>
    <row r="867" spans="1:7" x14ac:dyDescent="0.2">
      <c r="A867" s="492"/>
      <c r="B867" s="493"/>
      <c r="C867" s="494"/>
      <c r="D867" s="491"/>
      <c r="E867" s="495"/>
      <c r="F867" s="496"/>
      <c r="G867" s="135"/>
    </row>
    <row r="868" spans="1:7" x14ac:dyDescent="0.2">
      <c r="A868" s="492"/>
      <c r="B868" s="493"/>
      <c r="C868" s="494"/>
      <c r="D868" s="491"/>
      <c r="E868" s="495"/>
      <c r="F868" s="496"/>
      <c r="G868" s="135"/>
    </row>
    <row r="869" spans="1:7" x14ac:dyDescent="0.2">
      <c r="A869" s="492"/>
      <c r="B869" s="493"/>
      <c r="C869" s="494"/>
      <c r="D869" s="491"/>
      <c r="E869" s="495"/>
      <c r="F869" s="496"/>
      <c r="G869" s="135"/>
    </row>
    <row r="870" spans="1:7" x14ac:dyDescent="0.2">
      <c r="A870" s="492"/>
      <c r="B870" s="493"/>
      <c r="C870" s="494"/>
      <c r="D870" s="491"/>
      <c r="E870" s="495"/>
      <c r="F870" s="496"/>
      <c r="G870" s="135"/>
    </row>
    <row r="871" spans="1:7" x14ac:dyDescent="0.2">
      <c r="A871" s="492"/>
      <c r="B871" s="493"/>
      <c r="C871" s="494"/>
      <c r="D871" s="491"/>
      <c r="E871" s="495"/>
      <c r="F871" s="496"/>
      <c r="G871" s="135"/>
    </row>
    <row r="872" spans="1:7" ht="12" customHeight="1" x14ac:dyDescent="0.2">
      <c r="A872" s="492"/>
      <c r="B872" s="493"/>
      <c r="C872" s="494"/>
      <c r="D872" s="491"/>
      <c r="E872" s="495"/>
      <c r="F872" s="496"/>
      <c r="G872" s="135"/>
    </row>
    <row r="873" spans="1:7" ht="12.75" thickBot="1" x14ac:dyDescent="0.25">
      <c r="A873" s="497"/>
      <c r="B873" s="498"/>
      <c r="C873" s="499"/>
      <c r="D873" s="500"/>
      <c r="E873" s="501"/>
      <c r="F873" s="502"/>
      <c r="G873" s="135"/>
    </row>
    <row r="874" spans="1:7" x14ac:dyDescent="0.2">
      <c r="A874" s="474"/>
      <c r="B874" s="154" t="s">
        <v>432</v>
      </c>
      <c r="C874" s="467"/>
      <c r="D874" s="209"/>
      <c r="E874" s="469"/>
      <c r="F874" s="275"/>
      <c r="G874" s="210"/>
    </row>
    <row r="875" spans="1:7" ht="12.75" thickBot="1" x14ac:dyDescent="0.25">
      <c r="A875" s="141"/>
      <c r="B875" s="142" t="s">
        <v>433</v>
      </c>
      <c r="C875" s="143"/>
      <c r="D875" s="144"/>
      <c r="E875" s="145"/>
      <c r="F875" s="276"/>
      <c r="G875" s="146">
        <f>SUM(G833:G874)</f>
        <v>0</v>
      </c>
    </row>
    <row r="876" spans="1:7" x14ac:dyDescent="0.2">
      <c r="A876" s="503"/>
      <c r="B876" s="504" t="s">
        <v>451</v>
      </c>
      <c r="C876" s="325"/>
      <c r="D876" s="430"/>
      <c r="E876" s="327"/>
      <c r="F876" s="328"/>
      <c r="G876" s="75"/>
    </row>
    <row r="877" spans="1:7" x14ac:dyDescent="0.2">
      <c r="A877" s="481"/>
      <c r="B877" s="505" t="s">
        <v>448</v>
      </c>
      <c r="C877" s="322"/>
      <c r="D877" s="240"/>
      <c r="E877" s="181"/>
      <c r="F877" s="182"/>
      <c r="G877" s="75"/>
    </row>
    <row r="878" spans="1:7" x14ac:dyDescent="0.2">
      <c r="A878" s="506">
        <v>13.1</v>
      </c>
      <c r="B878" s="377" t="s">
        <v>41</v>
      </c>
      <c r="C878" s="507"/>
      <c r="D878" s="508"/>
      <c r="E878" s="267"/>
      <c r="F878" s="316"/>
      <c r="G878" s="119"/>
    </row>
    <row r="879" spans="1:7" x14ac:dyDescent="0.2">
      <c r="A879" s="509"/>
      <c r="B879" s="377" t="s">
        <v>450</v>
      </c>
      <c r="C879" s="507"/>
      <c r="D879" s="508"/>
      <c r="E879" s="267"/>
      <c r="F879" s="316"/>
      <c r="G879" s="119"/>
    </row>
    <row r="880" spans="1:7" x14ac:dyDescent="0.2">
      <c r="A880" s="481"/>
      <c r="B880" s="344"/>
      <c r="C880" s="383"/>
      <c r="D880" s="240"/>
      <c r="E880" s="181"/>
      <c r="F880" s="182"/>
      <c r="G880" s="75"/>
    </row>
    <row r="881" spans="1:7" x14ac:dyDescent="0.2">
      <c r="A881" s="481"/>
      <c r="B881" s="344"/>
      <c r="C881" s="383"/>
      <c r="D881" s="240"/>
      <c r="E881" s="181"/>
      <c r="F881" s="182"/>
      <c r="G881" s="75"/>
    </row>
    <row r="882" spans="1:7" x14ac:dyDescent="0.2">
      <c r="A882" s="481"/>
      <c r="B882" s="344"/>
      <c r="C882" s="383"/>
      <c r="D882" s="240"/>
      <c r="E882" s="181"/>
      <c r="F882" s="182"/>
      <c r="G882" s="75"/>
    </row>
    <row r="883" spans="1:7" x14ac:dyDescent="0.2">
      <c r="A883" s="481"/>
      <c r="B883" s="344"/>
      <c r="C883" s="383"/>
      <c r="D883" s="240"/>
      <c r="E883" s="181"/>
      <c r="F883" s="182"/>
      <c r="G883" s="75"/>
    </row>
    <row r="884" spans="1:7" x14ac:dyDescent="0.2">
      <c r="A884" s="481"/>
      <c r="B884" s="344"/>
      <c r="C884" s="383"/>
      <c r="D884" s="240"/>
      <c r="E884" s="181"/>
      <c r="F884" s="182"/>
      <c r="G884" s="75"/>
    </row>
    <row r="885" spans="1:7" x14ac:dyDescent="0.2">
      <c r="A885" s="481"/>
      <c r="B885" s="344"/>
      <c r="C885" s="383"/>
      <c r="D885" s="240"/>
      <c r="E885" s="181"/>
      <c r="F885" s="182"/>
      <c r="G885" s="75"/>
    </row>
    <row r="886" spans="1:7" x14ac:dyDescent="0.2">
      <c r="A886" s="481"/>
      <c r="B886" s="344"/>
      <c r="C886" s="383"/>
      <c r="D886" s="240"/>
      <c r="E886" s="181"/>
      <c r="F886" s="182"/>
      <c r="G886" s="75"/>
    </row>
    <row r="887" spans="1:7" x14ac:dyDescent="0.2">
      <c r="A887" s="481"/>
      <c r="B887" s="344"/>
      <c r="C887" s="383"/>
      <c r="D887" s="240"/>
      <c r="E887" s="181"/>
      <c r="F887" s="182"/>
      <c r="G887" s="75"/>
    </row>
    <row r="888" spans="1:7" x14ac:dyDescent="0.2">
      <c r="A888" s="481"/>
      <c r="B888" s="344"/>
      <c r="C888" s="383"/>
      <c r="D888" s="240"/>
      <c r="E888" s="181"/>
      <c r="F888" s="182"/>
      <c r="G888" s="75"/>
    </row>
    <row r="889" spans="1:7" x14ac:dyDescent="0.2">
      <c r="A889" s="481"/>
      <c r="B889" s="344"/>
      <c r="C889" s="383"/>
      <c r="D889" s="240"/>
      <c r="E889" s="181"/>
      <c r="F889" s="182"/>
      <c r="G889" s="75"/>
    </row>
    <row r="890" spans="1:7" x14ac:dyDescent="0.2">
      <c r="A890" s="481"/>
      <c r="B890" s="344"/>
      <c r="C890" s="383"/>
      <c r="D890" s="240"/>
      <c r="E890" s="181"/>
      <c r="F890" s="182"/>
      <c r="G890" s="75"/>
    </row>
    <row r="891" spans="1:7" x14ac:dyDescent="0.2">
      <c r="A891" s="481"/>
      <c r="B891" s="344"/>
      <c r="C891" s="383"/>
      <c r="D891" s="240"/>
      <c r="E891" s="181"/>
      <c r="F891" s="182"/>
      <c r="G891" s="75"/>
    </row>
    <row r="892" spans="1:7" x14ac:dyDescent="0.2">
      <c r="A892" s="481"/>
      <c r="B892" s="344"/>
      <c r="C892" s="383"/>
      <c r="D892" s="240"/>
      <c r="E892" s="181"/>
      <c r="F892" s="182"/>
      <c r="G892" s="75"/>
    </row>
    <row r="893" spans="1:7" x14ac:dyDescent="0.2">
      <c r="A893" s="481"/>
      <c r="B893" s="344"/>
      <c r="C893" s="383"/>
      <c r="D893" s="240"/>
      <c r="E893" s="181"/>
      <c r="F893" s="182"/>
      <c r="G893" s="75"/>
    </row>
    <row r="894" spans="1:7" x14ac:dyDescent="0.2">
      <c r="A894" s="481"/>
      <c r="B894" s="344"/>
      <c r="C894" s="383"/>
      <c r="D894" s="240"/>
      <c r="E894" s="181"/>
      <c r="F894" s="182"/>
      <c r="G894" s="75"/>
    </row>
    <row r="895" spans="1:7" x14ac:dyDescent="0.2">
      <c r="A895" s="481"/>
      <c r="B895" s="344"/>
      <c r="C895" s="383"/>
      <c r="D895" s="240"/>
      <c r="E895" s="181"/>
      <c r="F895" s="182"/>
      <c r="G895" s="75"/>
    </row>
    <row r="896" spans="1:7" x14ac:dyDescent="0.2">
      <c r="A896" s="481"/>
      <c r="B896" s="344"/>
      <c r="C896" s="383"/>
      <c r="D896" s="240"/>
      <c r="E896" s="181"/>
      <c r="F896" s="182"/>
      <c r="G896" s="75"/>
    </row>
    <row r="897" spans="1:7" x14ac:dyDescent="0.2">
      <c r="A897" s="481"/>
      <c r="B897" s="344"/>
      <c r="C897" s="383"/>
      <c r="D897" s="240"/>
      <c r="E897" s="181"/>
      <c r="F897" s="182"/>
      <c r="G897" s="75"/>
    </row>
    <row r="898" spans="1:7" x14ac:dyDescent="0.2">
      <c r="A898" s="481"/>
      <c r="B898" s="344"/>
      <c r="C898" s="383"/>
      <c r="D898" s="240"/>
      <c r="E898" s="181"/>
      <c r="F898" s="182"/>
      <c r="G898" s="75"/>
    </row>
    <row r="899" spans="1:7" x14ac:dyDescent="0.2">
      <c r="A899" s="481"/>
      <c r="B899" s="344"/>
      <c r="C899" s="383"/>
      <c r="D899" s="240"/>
      <c r="E899" s="181"/>
      <c r="F899" s="182"/>
      <c r="G899" s="75"/>
    </row>
    <row r="900" spans="1:7" x14ac:dyDescent="0.2">
      <c r="A900" s="481"/>
      <c r="B900" s="344"/>
      <c r="C900" s="383"/>
      <c r="D900" s="240"/>
      <c r="E900" s="181"/>
      <c r="F900" s="182"/>
      <c r="G900" s="75"/>
    </row>
    <row r="901" spans="1:7" x14ac:dyDescent="0.2">
      <c r="A901" s="481"/>
      <c r="B901" s="344"/>
      <c r="C901" s="383"/>
      <c r="D901" s="240"/>
      <c r="E901" s="181"/>
      <c r="F901" s="182"/>
      <c r="G901" s="75"/>
    </row>
    <row r="902" spans="1:7" x14ac:dyDescent="0.2">
      <c r="A902" s="481"/>
      <c r="B902" s="344"/>
      <c r="C902" s="383"/>
      <c r="D902" s="240"/>
      <c r="E902" s="181"/>
      <c r="F902" s="182"/>
      <c r="G902" s="75"/>
    </row>
    <row r="903" spans="1:7" x14ac:dyDescent="0.2">
      <c r="A903" s="481"/>
      <c r="B903" s="344"/>
      <c r="C903" s="383"/>
      <c r="D903" s="240"/>
      <c r="E903" s="181"/>
      <c r="F903" s="182"/>
      <c r="G903" s="75"/>
    </row>
    <row r="904" spans="1:7" x14ac:dyDescent="0.2">
      <c r="A904" s="481"/>
      <c r="B904" s="344"/>
      <c r="C904" s="383"/>
      <c r="D904" s="240"/>
      <c r="E904" s="181"/>
      <c r="F904" s="182"/>
      <c r="G904" s="75"/>
    </row>
    <row r="905" spans="1:7" x14ac:dyDescent="0.2">
      <c r="A905" s="481"/>
      <c r="B905" s="344"/>
      <c r="C905" s="383"/>
      <c r="D905" s="240"/>
      <c r="E905" s="181"/>
      <c r="F905" s="182"/>
      <c r="G905" s="75"/>
    </row>
    <row r="906" spans="1:7" x14ac:dyDescent="0.2">
      <c r="A906" s="481"/>
      <c r="B906" s="344"/>
      <c r="C906" s="383"/>
      <c r="D906" s="240"/>
      <c r="E906" s="181"/>
      <c r="F906" s="182"/>
      <c r="G906" s="75"/>
    </row>
    <row r="907" spans="1:7" x14ac:dyDescent="0.2">
      <c r="A907" s="481"/>
      <c r="B907" s="344"/>
      <c r="C907" s="383"/>
      <c r="D907" s="240"/>
      <c r="E907" s="181"/>
      <c r="F907" s="182"/>
      <c r="G907" s="75"/>
    </row>
    <row r="908" spans="1:7" x14ac:dyDescent="0.2">
      <c r="A908" s="481"/>
      <c r="B908" s="344"/>
      <c r="C908" s="383"/>
      <c r="D908" s="240"/>
      <c r="E908" s="181"/>
      <c r="F908" s="182"/>
      <c r="G908" s="75"/>
    </row>
    <row r="909" spans="1:7" x14ac:dyDescent="0.2">
      <c r="A909" s="481"/>
      <c r="B909" s="344"/>
      <c r="C909" s="383"/>
      <c r="D909" s="240"/>
      <c r="E909" s="181"/>
      <c r="F909" s="182"/>
      <c r="G909" s="75"/>
    </row>
    <row r="910" spans="1:7" x14ac:dyDescent="0.2">
      <c r="A910" s="481"/>
      <c r="B910" s="344"/>
      <c r="C910" s="383"/>
      <c r="D910" s="240"/>
      <c r="E910" s="181"/>
      <c r="F910" s="182"/>
      <c r="G910" s="75"/>
    </row>
    <row r="911" spans="1:7" x14ac:dyDescent="0.2">
      <c r="A911" s="481"/>
      <c r="B911" s="344"/>
      <c r="C911" s="383"/>
      <c r="D911" s="240"/>
      <c r="E911" s="181"/>
      <c r="F911" s="182"/>
      <c r="G911" s="75"/>
    </row>
    <row r="912" spans="1:7" x14ac:dyDescent="0.2">
      <c r="A912" s="481"/>
      <c r="B912" s="344"/>
      <c r="C912" s="383"/>
      <c r="D912" s="240"/>
      <c r="E912" s="181"/>
      <c r="F912" s="182"/>
      <c r="G912" s="75"/>
    </row>
    <row r="913" spans="1:7" x14ac:dyDescent="0.2">
      <c r="A913" s="481"/>
      <c r="B913" s="344"/>
      <c r="C913" s="383"/>
      <c r="D913" s="240"/>
      <c r="E913" s="181"/>
      <c r="F913" s="182"/>
      <c r="G913" s="75"/>
    </row>
    <row r="914" spans="1:7" x14ac:dyDescent="0.2">
      <c r="A914" s="481"/>
      <c r="B914" s="344"/>
      <c r="C914" s="383"/>
      <c r="D914" s="240"/>
      <c r="E914" s="181"/>
      <c r="F914" s="182"/>
      <c r="G914" s="75"/>
    </row>
    <row r="915" spans="1:7" x14ac:dyDescent="0.2">
      <c r="A915" s="481"/>
      <c r="B915" s="344"/>
      <c r="C915" s="383"/>
      <c r="D915" s="240"/>
      <c r="E915" s="181"/>
      <c r="F915" s="182"/>
      <c r="G915" s="75"/>
    </row>
    <row r="916" spans="1:7" x14ac:dyDescent="0.2">
      <c r="A916" s="481"/>
      <c r="B916" s="344"/>
      <c r="C916" s="383"/>
      <c r="D916" s="240"/>
      <c r="E916" s="181"/>
      <c r="F916" s="182"/>
      <c r="G916" s="75"/>
    </row>
    <row r="917" spans="1:7" x14ac:dyDescent="0.2">
      <c r="A917" s="481"/>
      <c r="B917" s="344"/>
      <c r="C917" s="383"/>
      <c r="D917" s="240"/>
      <c r="E917" s="181"/>
      <c r="F917" s="182"/>
      <c r="G917" s="75"/>
    </row>
    <row r="918" spans="1:7" x14ac:dyDescent="0.2">
      <c r="A918" s="481"/>
      <c r="B918" s="344"/>
      <c r="C918" s="383"/>
      <c r="D918" s="240"/>
      <c r="E918" s="181"/>
      <c r="F918" s="182"/>
      <c r="G918" s="75"/>
    </row>
    <row r="919" spans="1:7" x14ac:dyDescent="0.2">
      <c r="A919" s="481"/>
      <c r="B919" s="344"/>
      <c r="C919" s="383"/>
      <c r="D919" s="240"/>
      <c r="E919" s="181"/>
      <c r="F919" s="182"/>
      <c r="G919" s="75"/>
    </row>
    <row r="920" spans="1:7" x14ac:dyDescent="0.2">
      <c r="A920" s="481"/>
      <c r="B920" s="344"/>
      <c r="C920" s="383"/>
      <c r="D920" s="240"/>
      <c r="E920" s="181"/>
      <c r="F920" s="182"/>
      <c r="G920" s="75"/>
    </row>
    <row r="921" spans="1:7" x14ac:dyDescent="0.2">
      <c r="A921" s="481"/>
      <c r="B921" s="344"/>
      <c r="C921" s="383"/>
      <c r="D921" s="240"/>
      <c r="E921" s="181"/>
      <c r="F921" s="182"/>
      <c r="G921" s="75"/>
    </row>
    <row r="922" spans="1:7" x14ac:dyDescent="0.2">
      <c r="A922" s="481"/>
      <c r="B922" s="344"/>
      <c r="C922" s="383"/>
      <c r="D922" s="240"/>
      <c r="E922" s="181"/>
      <c r="F922" s="182"/>
      <c r="G922" s="75"/>
    </row>
    <row r="923" spans="1:7" x14ac:dyDescent="0.2">
      <c r="A923" s="481"/>
      <c r="B923" s="344"/>
      <c r="C923" s="383"/>
      <c r="D923" s="240"/>
      <c r="E923" s="181"/>
      <c r="F923" s="182"/>
      <c r="G923" s="75"/>
    </row>
    <row r="924" spans="1:7" x14ac:dyDescent="0.2">
      <c r="A924" s="481"/>
      <c r="B924" s="344"/>
      <c r="C924" s="383"/>
      <c r="D924" s="240"/>
      <c r="E924" s="181"/>
      <c r="F924" s="182"/>
      <c r="G924" s="75"/>
    </row>
    <row r="925" spans="1:7" x14ac:dyDescent="0.2">
      <c r="A925" s="481"/>
      <c r="B925" s="344"/>
      <c r="C925" s="383"/>
      <c r="D925" s="240"/>
      <c r="E925" s="181"/>
      <c r="F925" s="182"/>
      <c r="G925" s="75"/>
    </row>
    <row r="926" spans="1:7" x14ac:dyDescent="0.2">
      <c r="A926" s="481"/>
      <c r="B926" s="344"/>
      <c r="C926" s="383"/>
      <c r="D926" s="240"/>
      <c r="E926" s="181"/>
      <c r="F926" s="182"/>
      <c r="G926" s="75"/>
    </row>
    <row r="927" spans="1:7" x14ac:dyDescent="0.2">
      <c r="A927" s="481"/>
      <c r="B927" s="344"/>
      <c r="C927" s="383"/>
      <c r="D927" s="240"/>
      <c r="E927" s="181"/>
      <c r="F927" s="182"/>
      <c r="G927" s="75"/>
    </row>
    <row r="928" spans="1:7" x14ac:dyDescent="0.2">
      <c r="A928" s="481"/>
      <c r="B928" s="344"/>
      <c r="C928" s="383"/>
      <c r="D928" s="240"/>
      <c r="E928" s="181"/>
      <c r="F928" s="182"/>
      <c r="G928" s="75"/>
    </row>
    <row r="929" spans="1:7" x14ac:dyDescent="0.2">
      <c r="A929" s="481"/>
      <c r="B929" s="344"/>
      <c r="C929" s="383"/>
      <c r="D929" s="240"/>
      <c r="E929" s="181"/>
      <c r="F929" s="182"/>
      <c r="G929" s="75"/>
    </row>
    <row r="930" spans="1:7" x14ac:dyDescent="0.2">
      <c r="A930" s="481"/>
      <c r="B930" s="344"/>
      <c r="C930" s="383"/>
      <c r="D930" s="240"/>
      <c r="E930" s="181"/>
      <c r="F930" s="182"/>
      <c r="G930" s="75"/>
    </row>
    <row r="931" spans="1:7" x14ac:dyDescent="0.2">
      <c r="A931" s="481"/>
      <c r="B931" s="344"/>
      <c r="C931" s="383"/>
      <c r="D931" s="240"/>
      <c r="E931" s="181"/>
      <c r="F931" s="182"/>
      <c r="G931" s="75"/>
    </row>
    <row r="932" spans="1:7" ht="12.75" thickBot="1" x14ac:dyDescent="0.25">
      <c r="A932" s="510"/>
      <c r="B932" s="435"/>
      <c r="C932" s="436"/>
      <c r="D932" s="426"/>
      <c r="E932" s="199"/>
      <c r="F932" s="200"/>
      <c r="G932" s="75"/>
    </row>
    <row r="933" spans="1:7" x14ac:dyDescent="0.2">
      <c r="A933" s="474"/>
      <c r="B933" s="154" t="s">
        <v>453</v>
      </c>
      <c r="C933" s="467"/>
      <c r="D933" s="209"/>
      <c r="E933" s="469"/>
      <c r="F933" s="275"/>
      <c r="G933" s="210"/>
    </row>
    <row r="934" spans="1:7" ht="12.75" thickBot="1" x14ac:dyDescent="0.25">
      <c r="A934" s="141"/>
      <c r="B934" s="142" t="s">
        <v>452</v>
      </c>
      <c r="C934" s="143"/>
      <c r="D934" s="144"/>
      <c r="E934" s="145"/>
      <c r="F934" s="276"/>
      <c r="G934" s="146">
        <f>SUM(G739:G933)</f>
        <v>0</v>
      </c>
    </row>
    <row r="935" spans="1:7" x14ac:dyDescent="0.2">
      <c r="A935" s="503"/>
      <c r="B935" s="504" t="s">
        <v>454</v>
      </c>
      <c r="C935" s="325"/>
      <c r="D935" s="430"/>
      <c r="E935" s="327"/>
      <c r="F935" s="328"/>
      <c r="G935" s="211"/>
    </row>
    <row r="936" spans="1:7" x14ac:dyDescent="0.2">
      <c r="A936" s="481"/>
      <c r="B936" s="505" t="s">
        <v>449</v>
      </c>
      <c r="C936" s="322"/>
      <c r="D936" s="240"/>
      <c r="E936" s="181"/>
      <c r="F936" s="182"/>
      <c r="G936" s="183"/>
    </row>
    <row r="937" spans="1:7" x14ac:dyDescent="0.2">
      <c r="A937" s="506">
        <v>14.1</v>
      </c>
      <c r="B937" s="377" t="s">
        <v>41</v>
      </c>
      <c r="C937" s="507"/>
      <c r="D937" s="508"/>
      <c r="E937" s="267"/>
      <c r="F937" s="316"/>
      <c r="G937" s="317"/>
    </row>
    <row r="938" spans="1:7" x14ac:dyDescent="0.2">
      <c r="A938" s="511"/>
      <c r="B938" s="512" t="s">
        <v>488</v>
      </c>
      <c r="C938" s="376"/>
      <c r="D938" s="240"/>
      <c r="E938" s="288"/>
      <c r="F938" s="235"/>
      <c r="G938" s="236"/>
    </row>
    <row r="939" spans="1:7" x14ac:dyDescent="0.2">
      <c r="A939" s="481"/>
      <c r="B939" s="344"/>
      <c r="C939" s="383"/>
      <c r="D939" s="240"/>
      <c r="E939" s="181"/>
      <c r="F939" s="182"/>
      <c r="G939" s="183"/>
    </row>
    <row r="940" spans="1:7" x14ac:dyDescent="0.2">
      <c r="A940" s="481"/>
      <c r="B940" s="344"/>
      <c r="C940" s="383"/>
      <c r="D940" s="240"/>
      <c r="E940" s="181"/>
      <c r="F940" s="182"/>
      <c r="G940" s="183"/>
    </row>
    <row r="941" spans="1:7" x14ac:dyDescent="0.2">
      <c r="A941" s="481"/>
      <c r="B941" s="344"/>
      <c r="C941" s="383"/>
      <c r="D941" s="240"/>
      <c r="E941" s="181"/>
      <c r="F941" s="182"/>
      <c r="G941" s="183"/>
    </row>
    <row r="942" spans="1:7" x14ac:dyDescent="0.2">
      <c r="A942" s="481"/>
      <c r="B942" s="344"/>
      <c r="C942" s="383"/>
      <c r="D942" s="240"/>
      <c r="E942" s="181"/>
      <c r="F942" s="182"/>
      <c r="G942" s="183"/>
    </row>
    <row r="943" spans="1:7" x14ac:dyDescent="0.2">
      <c r="A943" s="481"/>
      <c r="B943" s="344"/>
      <c r="C943" s="383"/>
      <c r="D943" s="240"/>
      <c r="E943" s="181"/>
      <c r="F943" s="182"/>
      <c r="G943" s="183"/>
    </row>
    <row r="944" spans="1:7" x14ac:dyDescent="0.2">
      <c r="A944" s="481"/>
      <c r="B944" s="344"/>
      <c r="C944" s="383"/>
      <c r="D944" s="240"/>
      <c r="E944" s="181"/>
      <c r="F944" s="182"/>
      <c r="G944" s="183"/>
    </row>
    <row r="945" spans="1:7" x14ac:dyDescent="0.2">
      <c r="A945" s="481"/>
      <c r="B945" s="344"/>
      <c r="C945" s="383"/>
      <c r="D945" s="240"/>
      <c r="E945" s="181"/>
      <c r="F945" s="182"/>
      <c r="G945" s="183"/>
    </row>
    <row r="946" spans="1:7" x14ac:dyDescent="0.2">
      <c r="A946" s="481"/>
      <c r="B946" s="344"/>
      <c r="C946" s="383"/>
      <c r="D946" s="240"/>
      <c r="E946" s="181"/>
      <c r="F946" s="182"/>
      <c r="G946" s="183"/>
    </row>
    <row r="947" spans="1:7" x14ac:dyDescent="0.2">
      <c r="A947" s="481"/>
      <c r="B947" s="344"/>
      <c r="C947" s="383"/>
      <c r="D947" s="240"/>
      <c r="E947" s="181"/>
      <c r="F947" s="182"/>
      <c r="G947" s="183"/>
    </row>
    <row r="948" spans="1:7" x14ac:dyDescent="0.2">
      <c r="A948" s="481"/>
      <c r="B948" s="344"/>
      <c r="C948" s="383"/>
      <c r="D948" s="240"/>
      <c r="E948" s="181"/>
      <c r="F948" s="182"/>
      <c r="G948" s="183"/>
    </row>
    <row r="949" spans="1:7" x14ac:dyDescent="0.2">
      <c r="A949" s="481"/>
      <c r="B949" s="344"/>
      <c r="C949" s="383"/>
      <c r="D949" s="240"/>
      <c r="E949" s="181"/>
      <c r="F949" s="182"/>
      <c r="G949" s="183"/>
    </row>
    <row r="950" spans="1:7" x14ac:dyDescent="0.2">
      <c r="A950" s="481"/>
      <c r="B950" s="344"/>
      <c r="C950" s="383"/>
      <c r="D950" s="240"/>
      <c r="E950" s="181"/>
      <c r="F950" s="182"/>
      <c r="G950" s="183"/>
    </row>
    <row r="951" spans="1:7" x14ac:dyDescent="0.2">
      <c r="A951" s="481"/>
      <c r="B951" s="344"/>
      <c r="C951" s="383"/>
      <c r="D951" s="240"/>
      <c r="E951" s="181"/>
      <c r="F951" s="182"/>
      <c r="G951" s="183"/>
    </row>
    <row r="952" spans="1:7" x14ac:dyDescent="0.2">
      <c r="A952" s="481"/>
      <c r="B952" s="344"/>
      <c r="C952" s="383"/>
      <c r="D952" s="240"/>
      <c r="E952" s="181"/>
      <c r="F952" s="182"/>
      <c r="G952" s="183"/>
    </row>
    <row r="953" spans="1:7" x14ac:dyDescent="0.2">
      <c r="A953" s="481"/>
      <c r="B953" s="344"/>
      <c r="C953" s="383"/>
      <c r="D953" s="240"/>
      <c r="E953" s="181"/>
      <c r="F953" s="182"/>
      <c r="G953" s="183"/>
    </row>
    <row r="954" spans="1:7" x14ac:dyDescent="0.2">
      <c r="A954" s="481"/>
      <c r="B954" s="344"/>
      <c r="C954" s="383"/>
      <c r="D954" s="240"/>
      <c r="E954" s="181"/>
      <c r="F954" s="182"/>
      <c r="G954" s="183"/>
    </row>
    <row r="955" spans="1:7" x14ac:dyDescent="0.2">
      <c r="A955" s="481"/>
      <c r="B955" s="344"/>
      <c r="C955" s="383"/>
      <c r="D955" s="240"/>
      <c r="E955" s="181"/>
      <c r="F955" s="182"/>
      <c r="G955" s="183"/>
    </row>
    <row r="956" spans="1:7" x14ac:dyDescent="0.2">
      <c r="A956" s="481"/>
      <c r="B956" s="344"/>
      <c r="C956" s="383"/>
      <c r="D956" s="240"/>
      <c r="E956" s="181"/>
      <c r="F956" s="182"/>
      <c r="G956" s="183"/>
    </row>
    <row r="957" spans="1:7" x14ac:dyDescent="0.2">
      <c r="A957" s="481"/>
      <c r="B957" s="344"/>
      <c r="C957" s="383"/>
      <c r="D957" s="240"/>
      <c r="E957" s="181"/>
      <c r="F957" s="182"/>
      <c r="G957" s="183"/>
    </row>
    <row r="958" spans="1:7" x14ac:dyDescent="0.2">
      <c r="A958" s="481"/>
      <c r="B958" s="344"/>
      <c r="C958" s="383"/>
      <c r="D958" s="240"/>
      <c r="E958" s="181"/>
      <c r="F958" s="182"/>
      <c r="G958" s="183"/>
    </row>
    <row r="959" spans="1:7" x14ac:dyDescent="0.2">
      <c r="A959" s="481"/>
      <c r="B959" s="344"/>
      <c r="C959" s="383"/>
      <c r="D959" s="240"/>
      <c r="E959" s="181"/>
      <c r="F959" s="182"/>
      <c r="G959" s="183"/>
    </row>
    <row r="960" spans="1:7" x14ac:dyDescent="0.2">
      <c r="A960" s="481"/>
      <c r="B960" s="344"/>
      <c r="C960" s="383"/>
      <c r="D960" s="240"/>
      <c r="E960" s="181"/>
      <c r="F960" s="182"/>
      <c r="G960" s="183"/>
    </row>
    <row r="961" spans="1:7" x14ac:dyDescent="0.2">
      <c r="A961" s="481"/>
      <c r="B961" s="344"/>
      <c r="C961" s="383"/>
      <c r="D961" s="240"/>
      <c r="E961" s="181"/>
      <c r="F961" s="182"/>
      <c r="G961" s="183"/>
    </row>
    <row r="962" spans="1:7" x14ac:dyDescent="0.2">
      <c r="A962" s="481"/>
      <c r="B962" s="344"/>
      <c r="C962" s="383"/>
      <c r="D962" s="240"/>
      <c r="E962" s="181"/>
      <c r="F962" s="182"/>
      <c r="G962" s="183"/>
    </row>
    <row r="963" spans="1:7" x14ac:dyDescent="0.2">
      <c r="A963" s="481"/>
      <c r="B963" s="344"/>
      <c r="C963" s="383"/>
      <c r="D963" s="240"/>
      <c r="E963" s="181"/>
      <c r="F963" s="182"/>
      <c r="G963" s="183"/>
    </row>
    <row r="964" spans="1:7" x14ac:dyDescent="0.2">
      <c r="A964" s="481"/>
      <c r="B964" s="344"/>
      <c r="C964" s="383"/>
      <c r="D964" s="240"/>
      <c r="E964" s="181"/>
      <c r="F964" s="182"/>
      <c r="G964" s="183"/>
    </row>
    <row r="965" spans="1:7" x14ac:dyDescent="0.2">
      <c r="A965" s="481"/>
      <c r="B965" s="344"/>
      <c r="C965" s="383"/>
      <c r="D965" s="240"/>
      <c r="E965" s="181"/>
      <c r="F965" s="182"/>
      <c r="G965" s="183"/>
    </row>
    <row r="966" spans="1:7" x14ac:dyDescent="0.2">
      <c r="A966" s="481"/>
      <c r="B966" s="344"/>
      <c r="C966" s="383"/>
      <c r="D966" s="240"/>
      <c r="E966" s="181"/>
      <c r="F966" s="182"/>
      <c r="G966" s="183"/>
    </row>
    <row r="967" spans="1:7" x14ac:dyDescent="0.2">
      <c r="A967" s="481"/>
      <c r="B967" s="344"/>
      <c r="C967" s="383"/>
      <c r="D967" s="240"/>
      <c r="E967" s="181"/>
      <c r="F967" s="182"/>
      <c r="G967" s="183"/>
    </row>
    <row r="968" spans="1:7" x14ac:dyDescent="0.2">
      <c r="A968" s="481"/>
      <c r="B968" s="344"/>
      <c r="C968" s="383"/>
      <c r="D968" s="240"/>
      <c r="E968" s="181"/>
      <c r="F968" s="182"/>
      <c r="G968" s="183"/>
    </row>
    <row r="969" spans="1:7" x14ac:dyDescent="0.2">
      <c r="A969" s="481"/>
      <c r="B969" s="344"/>
      <c r="C969" s="383"/>
      <c r="D969" s="240"/>
      <c r="E969" s="181"/>
      <c r="F969" s="182"/>
      <c r="G969" s="183"/>
    </row>
    <row r="970" spans="1:7" x14ac:dyDescent="0.2">
      <c r="A970" s="481"/>
      <c r="B970" s="344"/>
      <c r="C970" s="383"/>
      <c r="D970" s="240"/>
      <c r="E970" s="181"/>
      <c r="F970" s="182"/>
      <c r="G970" s="183"/>
    </row>
    <row r="971" spans="1:7" x14ac:dyDescent="0.2">
      <c r="A971" s="481"/>
      <c r="B971" s="344"/>
      <c r="C971" s="383"/>
      <c r="D971" s="240"/>
      <c r="E971" s="181"/>
      <c r="F971" s="182"/>
      <c r="G971" s="183"/>
    </row>
    <row r="972" spans="1:7" x14ac:dyDescent="0.2">
      <c r="A972" s="481"/>
      <c r="B972" s="344"/>
      <c r="C972" s="383"/>
      <c r="D972" s="240"/>
      <c r="E972" s="181"/>
      <c r="F972" s="182"/>
      <c r="G972" s="183"/>
    </row>
    <row r="973" spans="1:7" x14ac:dyDescent="0.2">
      <c r="A973" s="481"/>
      <c r="B973" s="344"/>
      <c r="C973" s="383"/>
      <c r="D973" s="240"/>
      <c r="E973" s="181"/>
      <c r="F973" s="182"/>
      <c r="G973" s="183"/>
    </row>
    <row r="974" spans="1:7" x14ac:dyDescent="0.2">
      <c r="A974" s="481"/>
      <c r="B974" s="344"/>
      <c r="C974" s="383"/>
      <c r="D974" s="240"/>
      <c r="E974" s="181"/>
      <c r="F974" s="182"/>
      <c r="G974" s="183"/>
    </row>
    <row r="975" spans="1:7" x14ac:dyDescent="0.2">
      <c r="A975" s="481"/>
      <c r="B975" s="344"/>
      <c r="C975" s="383"/>
      <c r="D975" s="240"/>
      <c r="E975" s="181"/>
      <c r="F975" s="182"/>
      <c r="G975" s="183"/>
    </row>
    <row r="976" spans="1:7" x14ac:dyDescent="0.2">
      <c r="A976" s="481"/>
      <c r="B976" s="344"/>
      <c r="C976" s="383"/>
      <c r="D976" s="240"/>
      <c r="E976" s="181"/>
      <c r="F976" s="182"/>
      <c r="G976" s="183"/>
    </row>
    <row r="977" spans="1:7" x14ac:dyDescent="0.2">
      <c r="A977" s="481"/>
      <c r="B977" s="344"/>
      <c r="C977" s="383"/>
      <c r="D977" s="240"/>
      <c r="E977" s="181"/>
      <c r="F977" s="182"/>
      <c r="G977" s="183"/>
    </row>
    <row r="978" spans="1:7" x14ac:dyDescent="0.2">
      <c r="A978" s="481"/>
      <c r="B978" s="344"/>
      <c r="C978" s="383"/>
      <c r="D978" s="240"/>
      <c r="E978" s="181"/>
      <c r="F978" s="182"/>
      <c r="G978" s="183"/>
    </row>
    <row r="979" spans="1:7" x14ac:dyDescent="0.2">
      <c r="A979" s="481"/>
      <c r="B979" s="344"/>
      <c r="C979" s="383"/>
      <c r="D979" s="240"/>
      <c r="E979" s="181"/>
      <c r="F979" s="182"/>
      <c r="G979" s="183"/>
    </row>
    <row r="980" spans="1:7" x14ac:dyDescent="0.2">
      <c r="A980" s="481"/>
      <c r="B980" s="344"/>
      <c r="C980" s="383"/>
      <c r="D980" s="240"/>
      <c r="E980" s="181"/>
      <c r="F980" s="182"/>
      <c r="G980" s="183"/>
    </row>
    <row r="981" spans="1:7" x14ac:dyDescent="0.2">
      <c r="A981" s="481"/>
      <c r="B981" s="344"/>
      <c r="C981" s="383"/>
      <c r="D981" s="240"/>
      <c r="E981" s="181"/>
      <c r="F981" s="182"/>
      <c r="G981" s="183"/>
    </row>
    <row r="982" spans="1:7" x14ac:dyDescent="0.2">
      <c r="A982" s="481"/>
      <c r="B982" s="344"/>
      <c r="C982" s="383"/>
      <c r="D982" s="240"/>
      <c r="E982" s="181"/>
      <c r="F982" s="182"/>
      <c r="G982" s="183"/>
    </row>
    <row r="983" spans="1:7" x14ac:dyDescent="0.2">
      <c r="A983" s="481"/>
      <c r="B983" s="344"/>
      <c r="C983" s="383"/>
      <c r="D983" s="240"/>
      <c r="E983" s="181"/>
      <c r="F983" s="182"/>
      <c r="G983" s="183"/>
    </row>
    <row r="984" spans="1:7" x14ac:dyDescent="0.2">
      <c r="A984" s="481"/>
      <c r="B984" s="344"/>
      <c r="C984" s="383"/>
      <c r="D984" s="240"/>
      <c r="E984" s="181"/>
      <c r="F984" s="182"/>
      <c r="G984" s="183"/>
    </row>
    <row r="985" spans="1:7" x14ac:dyDescent="0.2">
      <c r="A985" s="481"/>
      <c r="B985" s="344"/>
      <c r="C985" s="383"/>
      <c r="D985" s="240"/>
      <c r="E985" s="181"/>
      <c r="F985" s="182"/>
      <c r="G985" s="183"/>
    </row>
    <row r="986" spans="1:7" x14ac:dyDescent="0.2">
      <c r="A986" s="481"/>
      <c r="B986" s="344"/>
      <c r="C986" s="383"/>
      <c r="D986" s="240"/>
      <c r="E986" s="181"/>
      <c r="F986" s="182"/>
      <c r="G986" s="183"/>
    </row>
    <row r="987" spans="1:7" x14ac:dyDescent="0.2">
      <c r="A987" s="481"/>
      <c r="B987" s="344"/>
      <c r="C987" s="383"/>
      <c r="D987" s="240"/>
      <c r="E987" s="181"/>
      <c r="F987" s="182"/>
      <c r="G987" s="183"/>
    </row>
    <row r="988" spans="1:7" x14ac:dyDescent="0.2">
      <c r="A988" s="481"/>
      <c r="B988" s="344"/>
      <c r="C988" s="383"/>
      <c r="D988" s="240"/>
      <c r="E988" s="181"/>
      <c r="F988" s="182"/>
      <c r="G988" s="183"/>
    </row>
    <row r="989" spans="1:7" x14ac:dyDescent="0.2">
      <c r="A989" s="481"/>
      <c r="B989" s="344"/>
      <c r="C989" s="383"/>
      <c r="D989" s="240"/>
      <c r="E989" s="181"/>
      <c r="F989" s="182"/>
      <c r="G989" s="183"/>
    </row>
    <row r="990" spans="1:7" ht="12.75" thickBot="1" x14ac:dyDescent="0.25">
      <c r="A990" s="481"/>
      <c r="B990" s="344"/>
      <c r="C990" s="383"/>
      <c r="D990" s="240"/>
      <c r="E990" s="181"/>
      <c r="F990" s="182"/>
      <c r="G990" s="183"/>
    </row>
    <row r="991" spans="1:7" x14ac:dyDescent="0.2">
      <c r="A991" s="474"/>
      <c r="B991" s="154" t="s">
        <v>455</v>
      </c>
      <c r="C991" s="467"/>
      <c r="D991" s="209"/>
      <c r="E991" s="469"/>
      <c r="F991" s="275"/>
      <c r="G991" s="211"/>
    </row>
    <row r="992" spans="1:7" ht="12.75" thickBot="1" x14ac:dyDescent="0.25">
      <c r="A992" s="141"/>
      <c r="B992" s="142" t="s">
        <v>456</v>
      </c>
      <c r="C992" s="143"/>
      <c r="D992" s="144"/>
      <c r="E992" s="145"/>
      <c r="F992" s="276"/>
      <c r="G992" s="212">
        <f>SUM(G940:G991)</f>
        <v>0</v>
      </c>
    </row>
  </sheetData>
  <mergeCells count="6">
    <mergeCell ref="A1:G1"/>
    <mergeCell ref="B499:G499"/>
    <mergeCell ref="B495:E495"/>
    <mergeCell ref="B496:E496"/>
    <mergeCell ref="B497:E497"/>
    <mergeCell ref="B498:E498"/>
  </mergeCells>
  <pageMargins left="0.59055118110236227" right="0.59055118110236227" top="0.59055118110236227" bottom="0.59055118110236227" header="0.23622047244094491" footer="0.23622047244094491"/>
  <pageSetup orientation="portrait" horizontalDpi="4294967293" verticalDpi="300" r:id="rId1"/>
  <headerFooter>
    <oddHeader>&amp;L&amp;8SIX CLASS ROOM BLOCK&amp;R&amp;8     BILL OF QUANTITIES</oddHeader>
    <oddFooter>&amp;L&amp;8JUNE, 2015&amp;C&amp;8&amp;P&amp;R&amp;8ArchEng Studio Pvt. Ltd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Sama</cp:lastModifiedBy>
  <cp:lastPrinted>2015-06-08T14:32:24Z</cp:lastPrinted>
  <dcterms:created xsi:type="dcterms:W3CDTF">2011-03-24T06:48:27Z</dcterms:created>
  <dcterms:modified xsi:type="dcterms:W3CDTF">2015-06-24T08:06:04Z</dcterms:modified>
</cp:coreProperties>
</file>